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6.xml"/>
  <Override ContentType="application/vnd.openxmlformats-officedocument.spreadsheetml.pivotCacheDefinition+xml" PartName="/xl/pivotCache/pivotCacheDefinition5.xml"/>
  <Override ContentType="application/vnd.openxmlformats-officedocument.spreadsheetml.pivotCacheDefinition+xml" PartName="/xl/pivotCache/pivotCacheDefinition7.xml"/>
  <Override ContentType="application/vnd.openxmlformats-officedocument.spreadsheetml.pivotCacheDefinition+xml" PartName="/xl/pivotCache/pivotCacheDefinition8.xml"/>
  <Override ContentType="application/vnd.openxmlformats-officedocument.spreadsheetml.pivotCacheDefinition+xml" PartName="/xl/pivotCache/pivotCacheDefinition9.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4.xml"/>
  <Override ContentType="application/vnd.openxmlformats-officedocument.spreadsheetml.pivotCacheDefinition+xml" PartName="/xl/pivotCache/pivotCacheDefinition2.xml"/>
  <Override ContentType="application/vnd.openxmlformats-officedocument.spreadsheetml.table+xml" PartName="/xl/tables/table18.xml"/>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15.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20.xml"/>
  <Override ContentType="application/vnd.openxmlformats-officedocument.spreadsheetml.table+xml" PartName="/xl/tables/table3.xml"/>
  <Override ContentType="application/vnd.openxmlformats-officedocument.spreadsheetml.table+xml" PartName="/xl/tables/table17.xml"/>
  <Override ContentType="application/vnd.openxmlformats-officedocument.spreadsheetml.table+xml" PartName="/xl/tables/table19.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6.xml"/>
  <Override ContentType="application/vnd.openxmlformats-officedocument.spreadsheetml.table+xml" PartName="/xl/tables/table14.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23.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7.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9.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52.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56.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4.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35.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50.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21.xml"/>
  <Override ContentType="application/vnd.openxmlformats-officedocument.spreadsheetml.comments+xml" PartName="/xl/comments9.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17.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22.xml"/>
  <Override ContentType="application/vnd.openxmlformats-officedocument.spreadsheetml.comments+xml" PartName="/xl/comments3.xml"/>
  <Override ContentType="application/vnd.openxmlformats-officedocument.spreadsheetml.comments+xml" PartName="/xl/comments18.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10.xml"/>
  <Override ContentType="application/vnd.openxmlformats-officedocument.spreadsheetml.comments+xml" PartName="/xl/comments23.xml"/>
  <Override ContentType="application/vnd.openxmlformats-officedocument.spreadsheetml.comments+xml" PartName="/xl/comments24.xml"/>
  <Override ContentType="application/vnd.openxmlformats-officedocument.spreadsheetml.comments+xml" PartName="/xl/comments6.xml"/>
  <Override ContentType="application/vnd.openxmlformats-officedocument.spreadsheetml.comments+xml" PartName="/xl/comments19.xml"/>
  <Override ContentType="application/vnd.openxmlformats-officedocument.spreadsheetml.comments+xml" PartName="/xl/comments2.xml"/>
  <Override ContentType="application/vnd.openxmlformats-officedocument.spreadsheetml.comments+xml" PartName="/xl/comments11.xml"/>
  <Override ContentType="application/vnd.openxmlformats-officedocument.spreadsheetml.comments+xml" PartName="/xl/comments20.xml"/>
  <Override ContentType="application/vnd.openxmlformats-officedocument.spreadsheetml.comments+xml" PartName="/xl/comments25.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print Metrics Template" sheetId="1" r:id="rId4"/>
    <sheet state="visible" name="Sprint Metrics Details" sheetId="2" r:id="rId5"/>
    <sheet state="visible" name="Atrium" sheetId="3" r:id="rId6"/>
    <sheet state="visible" name="Cerberus" sheetId="4" r:id="rId7"/>
    <sheet state="visible" name="Coruscant" sheetId="5" r:id="rId8"/>
    <sheet state="visible" name="Design System" sheetId="6" r:id="rId9"/>
    <sheet state="visible" name="Mobile Cartel" sheetId="7" r:id="rId10"/>
    <sheet state="visible" name="Mobile West" sheetId="8" r:id="rId11"/>
    <sheet state="visible" name="Mobile East" sheetId="9" r:id="rId12"/>
    <sheet state="visible" name="Korriban" sheetId="10" r:id="rId13"/>
    <sheet state="visible" name="Vikings - WhatsApp" sheetId="11" r:id="rId14"/>
    <sheet state="visible" name="Vikings - SMS" sheetId="12" r:id="rId15"/>
    <sheet state="visible" name="Kraken" sheetId="13" r:id="rId16"/>
    <sheet state="visible" name="Liron" sheetId="14" r:id="rId17"/>
    <sheet state="visible" name="Skeletors" sheetId="15" r:id="rId18"/>
    <sheet state="visible" name="Scale-up" sheetId="16" r:id="rId19"/>
    <sheet state="visible" name="Contech" sheetId="17" r:id="rId20"/>
    <sheet state="visible" name="Myhtbusters" sheetId="18" r:id="rId21"/>
    <sheet state="visible" name="Ghostbusters" sheetId="19" r:id="rId22"/>
    <sheet state="visible" name="Samaritan" sheetId="20" r:id="rId23"/>
    <sheet state="hidden" name="Sheet10" sheetId="21" r:id="rId24"/>
    <sheet state="visible" name="Unix" sheetId="22" r:id="rId25"/>
    <sheet state="visible" name="Minerva" sheetId="23" r:id="rId26"/>
    <sheet state="visible" name="Valorem" sheetId="24" r:id="rId27"/>
    <sheet state="visible" name="Paracetamol" sheetId="25" r:id="rId28"/>
    <sheet state="visible" name="Pirates" sheetId="26" r:id="rId29"/>
    <sheet state="visible" name="Summary Per Team" sheetId="27" r:id="rId30"/>
    <sheet state="visible" name="DEV Bug Rate " sheetId="28" r:id="rId31"/>
    <sheet state="visible" name="23Sum Per Team" sheetId="29" r:id="rId32"/>
    <sheet state="visible" name="Planning Accuracy Pivot" sheetId="30" r:id="rId33"/>
    <sheet state="visible" name="BugDev Pivot" sheetId="31" r:id="rId34"/>
    <sheet state="visible" name="Sprint Goal Pivot" sheetId="32" r:id="rId35"/>
    <sheet state="visible" name="Detail26-Vikings - SMS-6" sheetId="33" r:id="rId36"/>
    <sheet state="visible" name="Detail11-Vikings-2" sheetId="34" r:id="rId37"/>
    <sheet state="visible" name="Shipping Accuracy Pivot" sheetId="35" r:id="rId38"/>
    <sheet state="visible" name="Detail28-Vikings - WhatsApp-6" sheetId="36" r:id="rId39"/>
    <sheet state="visible" name="Detail27-Vikings - WhatsApp-5" sheetId="37" r:id="rId40"/>
    <sheet state="visible" name="Detail25-Vikings - WhatsApp-5" sheetId="38" r:id="rId41"/>
    <sheet state="visible" name="Detail24-Vikings - WhatsApp-5" sheetId="39" r:id="rId42"/>
    <sheet state="visible" name="Detail23-Vikings - WhatsApp-4" sheetId="40" r:id="rId43"/>
    <sheet state="visible" name="Detail22-Vikings - WhatsApp-6" sheetId="41" r:id="rId44"/>
    <sheet state="visible" name="Detail21-Vikings - WhatsApp-5" sheetId="42" r:id="rId45"/>
    <sheet state="visible" name="Detail20-Vikings - WhatsApp-5" sheetId="43" r:id="rId46"/>
    <sheet state="visible" name="Detail19-Vikings - WhatsApp-5" sheetId="44" r:id="rId47"/>
    <sheet state="visible" name="Detail18-Vikings - WhatsApp-6" sheetId="45" r:id="rId48"/>
    <sheet state="visible" name="Detail17-Vikings - WhatsApp-5" sheetId="46" r:id="rId49"/>
    <sheet state="visible" name="Detail16-Vikings - WhatsApp-5" sheetId="47" r:id="rId50"/>
    <sheet state="visible" name="Detail10-Minerva-3" sheetId="48" r:id="rId51"/>
    <sheet state="visible" name="Detail8-Atrium-2" sheetId="49" r:id="rId52"/>
    <sheet state="visible" name="Detail7-Pirates-2" sheetId="50" r:id="rId53"/>
    <sheet state="visible" name="Detail6-DataForce-1" sheetId="51" r:id="rId54"/>
    <sheet state="visible" name="Liron Indv. SPA Pivot" sheetId="52" r:id="rId55"/>
    <sheet state="visible" name="Skeletors Indv. SPA Pivot" sheetId="53" r:id="rId56"/>
    <sheet state="visible" name="ScaleUp Indv. SPA Pivot" sheetId="54" r:id="rId57"/>
    <sheet state="visible" name="Detail12" sheetId="55" r:id="rId58"/>
    <sheet state="visible" name="Detail13" sheetId="56" r:id="rId59"/>
  </sheets>
  <definedNames>
    <definedName hidden="1" localSheetId="30" name="_xlnm._FilterDatabase">'BugDev Pivot'!$A$1:$Z$32</definedName>
    <definedName hidden="1" localSheetId="26" name="Z_A616207E_E757_47DF_B013_1F244C6B72C9_.wvu.FilterData">'Summary Per Team'!$A$1:$H$331</definedName>
  </definedNames>
  <calcPr/>
  <customWorkbookViews>
    <customWorkbookView activeSheetId="0" maximized="1" windowHeight="0" windowWidth="0" guid="{A616207E-E757-47DF-B013-1F244C6B72C9}" name="Last 3 Months"/>
  </customWorkbookViews>
  <pivotCaches>
    <pivotCache cacheId="0" r:id="rId60"/>
    <pivotCache cacheId="1" r:id="rId61"/>
    <pivotCache cacheId="2" r:id="rId62"/>
    <pivotCache cacheId="3" r:id="rId63"/>
    <pivotCache cacheId="4" r:id="rId64"/>
    <pivotCache cacheId="5" r:id="rId65"/>
    <pivotCache cacheId="6" r:id="rId66"/>
    <pivotCache cacheId="7" r:id="rId67"/>
    <pivotCache cacheId="8" r:id="rId68"/>
  </pivotCache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1">
      <text>
        <t xml:space="preserve">it is binary component like sprint goal but to convert it to percentage: if half of the team participated in sprint goal tasks, enter 100% if not 0%</t>
      </text>
    </comment>
    <comment authorId="0" ref="A1">
      <text>
        <t xml:space="preserve">https://winsider.atlassian.net/browse/SD-105246
https://winsider.atlassian.net/browse/SD-105248
https://winsider.atlassian.net/browse/SD-104609
https://winsider.atlassian.net/browse/SD-105242
https://winsider.atlassian.net/browse/SD-105241
	-Berna Ertenli</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7">
      <text>
        <t xml:space="preserve">Commited+Emerged</t>
      </text>
    </comment>
    <comment authorId="0" ref="A12">
      <text>
        <t xml:space="preserve">All done columns /bug based</t>
      </text>
    </comment>
    <comment authorId="0" ref="A13">
      <text>
        <t xml:space="preserve">Sprint report check without "*"</t>
      </text>
    </comment>
    <comment authorId="0" ref="A14">
      <text>
        <t xml:space="preserve">Sprint report check with "*"</t>
      </text>
    </comment>
    <comment authorId="0" ref="A19">
      <text>
        <t xml:space="preserve">All done column on board
</t>
      </text>
    </comment>
    <comment authorId="0" ref="A20">
      <text>
        <t xml:space="preserve">Released And Done Tasks
</t>
      </text>
    </comment>
    <comment authorId="0" ref="A26">
      <text>
        <t xml:space="preserve">it is binary component like  but to convert it to percentage: if it's 1, enter 100% if not 0%</t>
      </text>
    </comment>
    <comment authorId="0" ref="A34">
      <text>
        <t xml:space="preserve">it is binary component like sprint goal but to convert it to percentage: if half of the team participated in sprint goal tasks, enter 100% if not 0%</t>
      </text>
    </comment>
    <comment authorId="0" ref="B69">
      <text>
        <t xml:space="preserve">Yigit: -
Burcin: -1</t>
      </text>
    </comment>
    <comment authorId="0" ref="C69">
      <text>
        <t xml:space="preserve">Yigit: 1
Burcin: 1</t>
      </text>
    </comment>
    <comment authorId="0" ref="D69">
      <text>
        <t xml:space="preserve">Yigit: 1
Burcin: 1</t>
      </text>
    </comment>
    <comment authorId="0" ref="E69">
      <text>
        <t xml:space="preserve">Yigit: 1</t>
      </text>
    </comment>
    <comment authorId="0" ref="F69">
      <text>
        <t xml:space="preserve">Yigit: 0</t>
      </text>
    </comment>
    <comment authorId="0" ref="G69">
      <text>
        <t xml:space="preserve">Yigit: </t>
      </text>
    </comment>
    <comment authorId="0" ref="H69">
      <text>
        <t xml:space="preserve">Yigit: 0
</t>
      </text>
    </comment>
    <comment authorId="0" ref="I69">
      <text>
        <t xml:space="preserve">Yigit: 
Selin: </t>
      </text>
    </comment>
    <comment authorId="0" ref="J69">
      <text>
        <t xml:space="preserve">Yigit: 1
Selin: 1</t>
      </text>
    </comment>
    <comment authorId="0" ref="K69">
      <text>
        <t xml:space="preserve">Yigit: 
Selin: </t>
      </text>
    </comment>
    <comment authorId="0" ref="L69">
      <text>
        <t xml:space="preserve">Yigit: 
Selin: </t>
      </text>
    </comment>
    <comment authorId="0" ref="M69">
      <text>
        <t xml:space="preserve">Yigit: -
Selin: -</t>
      </text>
    </comment>
    <comment authorId="0" ref="N69">
      <text>
        <t xml:space="preserve">Yigit: 1
Tugrul: -</t>
      </text>
    </comment>
    <comment authorId="0" ref="O69">
      <text>
        <t xml:space="preserve">Yigit: 0
Tugrul: 0</t>
      </text>
    </comment>
    <comment authorId="0" ref="P69">
      <text>
        <t xml:space="preserve">Yigit: 1
Tugrul: 1</t>
      </text>
    </comment>
    <comment authorId="0" ref="Q69">
      <text>
        <t xml:space="preserve">Yigit: 0
Tugrul: 1</t>
      </text>
    </comment>
    <comment authorId="0" ref="R69">
      <text>
        <t xml:space="preserve">Yigit: 1
Tugrul: 1</t>
      </text>
    </comment>
    <comment authorId="0" ref="S69">
      <text>
        <t xml:space="preserve">Yigit: -1
Tugrul: 0</t>
      </text>
    </comment>
    <comment authorId="0" ref="T69">
      <text>
        <t xml:space="preserve">Yigit: 0
Tugrul: 0</t>
      </text>
    </comment>
    <comment authorId="0" ref="U69">
      <text>
        <t xml:space="preserve">Yigit: -1
Tugrul: -1</t>
      </text>
    </comment>
    <comment authorId="0" ref="B70">
      <text>
        <t xml:space="preserve">Busra: 0
Ugur: -1
Yunus: 0
Cem: 0
Mertcan: 0
Furkan: 0
Orhan: 0</t>
      </text>
    </comment>
    <comment authorId="0" ref="C70">
      <text>
        <t xml:space="preserve">Busra: 1
Ugur: 1
Yunus: 0
Cem: 0
Mertcan: 1
Furkan: 0
Orhan: 1</t>
      </text>
    </comment>
    <comment authorId="0" ref="D70">
      <text>
        <t xml:space="preserve">Busra: 1
Ugur: 1
Yunus: 1
Cem: -
Mertcan: 0
Furkan: 1
Orhan: 1</t>
      </text>
    </comment>
    <comment authorId="0" ref="E70">
      <text>
        <t xml:space="preserve">Busra: 0
Ugur: 1
Yunus: 0
Cem: 0
Mertcan: 1
Furkan: 0
Orhan: 1</t>
      </text>
    </comment>
    <comment authorId="0" ref="F70">
      <text>
        <t xml:space="preserve">Busra: 0
Ugur: 0
Yunus: 0
Cem: 0
Mertcan: 1
Furkan: 0
Orhan: 1
Alican: 1</t>
      </text>
    </comment>
    <comment authorId="0" ref="G70">
      <text>
        <t xml:space="preserve">Busra: 
Ugur: 
Yunus: 
Cem: 
Mertcan: 
Furkan: 
Orhan: 
Alican: </t>
      </text>
    </comment>
    <comment authorId="0" ref="H70">
      <text>
        <t xml:space="preserve">Busra: -1
Ugur: -1
Yunus: 0
Cem: 0
Mertcan: -1
Furkan: 0
Orhan: 0
Alican: 0</t>
      </text>
    </comment>
    <comment authorId="0" ref="I70">
      <text>
        <t xml:space="preserve">Busra: 
Ugur: 
Yunus: 
Cem: 
Mertcan: 
Furkan: 
Orhan: 
Alican: </t>
      </text>
    </comment>
    <comment authorId="0" ref="J70">
      <text>
        <t xml:space="preserve">Busra: 1
Ugur: 0
Yunus: 1
Cem: 1
Mertcan: -
Furkan: 1
Orhan: 1
Alican: 1</t>
      </text>
    </comment>
    <comment authorId="0" ref="K70">
      <text>
        <t xml:space="preserve">Busra: 
Ugur: 
Yunus: 
Cem: 
Mertcan: 
Furkan: 
Orhan: 
Alican: </t>
      </text>
    </comment>
    <comment authorId="0" ref="L70">
      <text>
        <t xml:space="preserve">Busra: 
Ugur: 
Yunus: 
Cem: 
Mertcan: 
Furkan: 
Orhan: 
Alican: </t>
      </text>
    </comment>
    <comment authorId="0" ref="M70">
      <text>
        <t xml:space="preserve">Busra: -
Ugur: 1
Yunus: 1
Cem: 1
Mertcan: 1
Furkan: -
Orhan: 1
Alican: 1</t>
      </text>
    </comment>
    <comment authorId="0" ref="N70">
      <text>
        <t xml:space="preserve">Busra: 0
Ugur: 0
Yunus: 0
Cem: 0
Mertcan: 0
Furkan: -
Orhan: 0
Alican: 0</t>
      </text>
    </comment>
    <comment authorId="0" ref="O70">
      <text>
        <t xml:space="preserve">Busra: -
Ugur: 0
Yunus: 0
Cem: -
Mertcan: -1
Furkan: 0
Orhan: 1
Alican: -1</t>
      </text>
    </comment>
    <comment authorId="0" ref="P70">
      <text>
        <t xml:space="preserve">Busra: 0
Ugur: 0
Yunus: 0
Cem: 1
Mertcan: 0
Furkan: 1
Orhan: 1
Alican: 0
Evren: </t>
      </text>
    </comment>
    <comment authorId="0" ref="Q70">
      <text>
        <t xml:space="preserve">Busra: 0
Ugur: 0
Yunus: -
Cem: -1
Mertcan: 0
Furkan: 1
Orhan: 1
Evren: 0</t>
      </text>
    </comment>
    <comment authorId="0" ref="R70">
      <text>
        <t xml:space="preserve">Busra: 1
Ugur: 1
Yunus: -
Cem: 1
Mertcan: 1
Furkan: 1
Orhan: 1</t>
      </text>
    </comment>
    <comment authorId="0" ref="S70">
      <text>
        <t xml:space="preserve">Busra: 0
Ugur: -1
Yunus: 0
Cem: 0
Mertcan: 0
Furkan: 1
Orhan: 1
Ali: 0
Furkan: 0</t>
      </text>
    </comment>
    <comment authorId="0" ref="T70">
      <text>
        <t xml:space="preserve">Busra: -1
Ugur: 0
Yunus: 0
Cem: 0
Mertcan: -
Furkan: -
Orhan: -
Furkan: 0
Ali: 0
Evren: 0</t>
      </text>
    </comment>
    <comment authorId="0" ref="U70">
      <text>
        <t xml:space="preserve">Busra: -1
Ugur: -1
Yunus: -1
Cem: -
Mertcan: -1
Furkan: 0
Orhan: -1
Furkan T: 0
Ali: -1
Evren: -</t>
      </text>
    </comment>
    <comment authorId="0" ref="B72">
      <text>
        <t xml:space="preserve">Burçik ve Yiğit
Busra: 0
Ugur: -1
Yunus: 0
Cem: 0
Mertcan: 0
Furkan: 0
Orhan: 0</t>
      </text>
    </comment>
    <comment authorId="0" ref="C72">
      <text>
        <t xml:space="preserve">Burçik ve Yiğit
Busra: 1
Ugur: 1
Yunus: 0
Cem: 1
Mertcan: 1
Furkan: 1
Orhan: 1</t>
      </text>
    </comment>
    <comment authorId="0" ref="D72">
      <text>
        <t xml:space="preserve">Burçik ve Yiğit
Busra: 1
Ugur: 1
Yunus: 1
Cem: -
Mertcan: 1
Furkan: 1
Orhan: 1</t>
      </text>
    </comment>
    <comment authorId="0" ref="E72">
      <text>
        <t xml:space="preserve">Busra: 1
Ugur: 1
Yunus: 1
Cem: 1
Mertcan: 1
Furkan: 1
Orhan: 1</t>
      </text>
    </comment>
    <comment authorId="0" ref="F72">
      <text>
        <t xml:space="preserve">Busra: 1
Ugur: 0
Yunus: 1
Cem: 1
Mertcan: 1
Furkan: 1
Orhan: 1
Alican: 1</t>
      </text>
    </comment>
    <comment authorId="0" ref="G72">
      <text>
        <t xml:space="preserve">Busra: 
Ugur: 
Yunus: 
Cem: 
Mertcan: 
Furkan: 
Orhan: 
Alican: </t>
      </text>
    </comment>
    <comment authorId="0" ref="H72">
      <text>
        <t xml:space="preserve">Busra: 0
Ugur: 0
Yunus: 0
Cem: 0
Mertcan: 1
Furkan: 0
Orhan: 0
Alican: 1</t>
      </text>
    </comment>
    <comment authorId="0" ref="I72">
      <text>
        <t xml:space="preserve">Busra: 
Ugur: 
Yunus: 
Cem: 
Mertcan: 
Furkan: 
Orhan: 
Alican: </t>
      </text>
    </comment>
    <comment authorId="0" ref="J72">
      <text>
        <t xml:space="preserve">Busra: 1
Ugur: 0
Yunus: 1
Cem: 1
Mertcan: -
Furkan: 1
Orhan: 1
Alican: 1</t>
      </text>
    </comment>
    <comment authorId="0" ref="K72">
      <text>
        <t xml:space="preserve">Busra: 
Ugur: 
Yunus: 
Cem: 
Mertcan: 
Furkan: 
Orhan: 
Alican: </t>
      </text>
    </comment>
    <comment authorId="0" ref="L72">
      <text>
        <t xml:space="preserve">Busra: 
Ugur: 
Yunus: 
Cem: 
Mertcan: 
Furkan: 
Orhan: 
Alican: </t>
      </text>
    </comment>
    <comment authorId="0" ref="M72">
      <text>
        <t xml:space="preserve">Busra: -
Ugur: 0
Yunus: 1
Cem: 0
Mertcan: 0
Furkan: -
Orhan: 0
Alican: 1</t>
      </text>
    </comment>
    <comment authorId="0" ref="N72">
      <text>
        <t xml:space="preserve">Busra: 1
Ugur: 0
Yunus: 0
Cem: 1
Mertcan: 1
Furkan: -
Orhan: 1
Alican: 1</t>
      </text>
    </comment>
    <comment authorId="0" ref="O72">
      <text>
        <t xml:space="preserve">Busra: -
Ugur: 0
Yunus: 0
Cem: -
Mertcan: 1
Furkan: 1
Orhan: 1
Alican: 1</t>
      </text>
    </comment>
    <comment authorId="0" ref="P72">
      <text>
        <t xml:space="preserve">Busra: 0
Ugur: -1 
Yunus: 0
Cem: 0
Mertcan: 1
Furkan: 0
Orhan: 1
Alican: 1</t>
      </text>
    </comment>
    <comment authorId="0" ref="Q72">
      <text>
        <t xml:space="preserve">Busra: 0
Ugur: -1
Yunus: -
Cem: 0
Mertcan: 1
Furkan: 1
Orhan: 1
Evren: </t>
      </text>
    </comment>
    <comment authorId="0" ref="R72">
      <text>
        <t xml:space="preserve">Busra: 1
Ugur: -1
Yunus: -
Cem: 1
Mertcan: 1
Furkan: 1
Orhan: 1</t>
      </text>
    </comment>
    <comment authorId="0" ref="S72">
      <text>
        <t xml:space="preserve">Busra: 0
Ugur: -1
Yunus: 1
Cem: 1
Mertcan: 1
Furkan: 1
Orhan: 1
Ali: 1
Furkan: 1</t>
      </text>
    </comment>
    <comment authorId="0" ref="T72">
      <text>
        <t xml:space="preserve">Busra: 0
Ugur: -1
Yunus: 0
Cem: 1
Mertcan: -
Furkan: -
Orhan: -
Ali: 0
Furkan: 0
Evren: 0</t>
      </text>
    </comment>
    <comment authorId="0" ref="U72">
      <text>
        <t xml:space="preserve">Busra: 1
Ugur: -1
Yunus: 0
Cem: -
Mertcan: 1
Furkan: 0
Orhan: 1
Ali: 0
Furkan T: 0
Evren: -</t>
      </text>
    </comment>
    <comment authorId="0" ref="L5">
      <text>
        <t xml:space="preserve">hepsiburada ve incident sprinti
	-Ugur Eski</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 authorId="0" ref="Q35">
      <text>
        <t xml:space="preserve">Releasing caching and increasing throughput plan
- https://winsider.atlassian.net/browse/PA-27879
- https://winsider.atlassian.net/browse/PA-27928
	-Can Yunus Erozden</t>
      </text>
    </comment>
    <comment authorId="0" ref="P35">
      <text>
        <t xml:space="preserve">Goal Tasks:
- https://winsider.atlassian.net/browse/PA-27603
- https://winsider.atlassian.net/browse/PA-27753
- https://winsider.atlassian.net/browse/PA-27601
	-Can Yunus Erozden</t>
      </text>
    </comment>
    <comment authorId="0" ref="O35">
      <text>
        <t xml:space="preserve">Goal Tasks:
-https://winsider.atlassian.net/browse/PA-27593
- https://winsider.atlassian.net/browse/PA-27594
	-Can Yunus Erozden</t>
      </text>
    </comment>
    <comment authorId="0" ref="N35">
      <text>
        <t xml:space="preserve">Goal Tasks:
- https://winsider.atlassian.net/browse/PA-27318
- https://winsider.atlassian.net/browse/PA-27328
-https://winsider.atlassian.net/browse/PA-27326
-https://winsider.atlassian.net/browse/PA-27321
-https://winsider.atlassian.net/browse/PA-27088
-https://winsider.atlassian.net/browse/PA-27320
-https://winsider.atlassian.net/browse/PA-27330
	-Can Yunus Erozden</t>
      </text>
    </comment>
    <comment authorId="0" ref="M35">
      <text>
        <t xml:space="preserve">Goal Tasks:
- https://winsider.atlassian.net/browse/PA-27141
- https://winsider.atlassian.net/browse/PA-27011
- https://winsider.atlassian.net/browse/PA-26782
- https://winsider.atlassian.net/browse/PA-26841
- https://winsider.atlassian.net/browse/PA-27139
- https://winsider.atlassian.net/browse/PA-27140
	-Can Yunus Erozden</t>
      </text>
    </comment>
    <comment authorId="0" ref="K35">
      <text>
        <t xml:space="preserve">Goal Tasks:
- https://winsider.atlassian.net/browse/PA-26295
- https://winsider.atlassian.net/browse/PA-26759
- https://winsider.atlassian.net/browse/PA-26766
- https://winsider.atlassian.net/browse/PA-26783
- https://winsider.atlassian.net/browse/PA-26796
- https://winsider.atlassian.net/browse/PA-26292
	-Can Yunus Erozden</t>
      </text>
    </comment>
    <comment authorId="0" ref="L35">
      <text>
        <t xml:space="preserve">Goal Tasks:
- https://winsider.atlassian.net/browse/PA-26958
- https://winsider.atlassian.net/browse/PA-26757
- https://winsider.atlassian.net/browse/PA-26292
	-Can Yunus Erozden</t>
      </text>
    </comment>
    <comment authorId="0" ref="J35">
      <text>
        <t xml:space="preserve">Goal Tasks:
- https://winsider.atlassian.net/browse/PA-26290
- https://winsider.atlassian.net/browse/PA-26523
- https://winsider.atlassian.net/browse/PA-26524
- https://winsider.atlassian.net/browse/PA-26547
- https://winsider.atlassian.net/browse/PA-26567
- https://winsider.atlassian.net/browse/PA-26717
	-Can Yunus Erozden</t>
      </text>
    </comment>
    <comment authorId="0" ref="J55">
      <text>
        <t xml:space="preserve">During the sprint, it was realized that one of the goal task needed a broader scope, so a subtask was created.
Goal task -&gt; https://winsider.atlassian.net/browse/PA-26567
Sub task -&gt; https://winsider.atlassian.net/browse/PA-26717
	-Can Yunus Erozden</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3">
      <text>
        <t xml:space="preserve">it is binary component like  but to convert it to percentage: if it's 1, enter 100% if not 0%</t>
      </text>
    </comment>
    <comment authorId="0" ref="A31">
      <text>
        <t xml:space="preserve">it is binary component like sprint goal but to convert it to percentage: if half of the team participated in sprint goal tasks, enter 100% if not 0%</t>
      </text>
    </comment>
    <comment authorId="0" ref="D42">
      <text>
        <t xml:space="preserve">on leave</t>
      </text>
    </comment>
    <comment authorId="0" ref="Q58">
      <text>
        <t xml:space="preserve">retreat sprinti ama hasta</t>
      </text>
    </comment>
    <comment authorId="0" ref="R58">
      <text>
        <t xml:space="preserve">30 ağustos ve 1 gün izin</t>
      </text>
    </comment>
    <comment authorId="0" ref="S36">
      <text>
        <t xml:space="preserve">Eforu belirsiz 2 task ile
	-Ahmet Onol</t>
      </text>
    </comment>
    <comment authorId="0" ref="O31">
      <text>
        <t xml:space="preserve">3/5
	-Didem Akgun</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 authorId="0" ref="E20">
      <text>
        <t xml:space="preserve">Valentine's Day
	-Orhun Turan</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 authorId="0" ref="E20">
      <text>
        <t xml:space="preserve">Valentine's day
	-Orhun Turan</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M23">
      <text>
        <t xml:space="preserve">Smokelar kubedan dolayı patladı ve release bir gün ertelendi. Urgent bakılması gereken bug olmayan konular da genel olarak aksattı.
</t>
      </text>
    </comment>
    <comment authorId="0" ref="N23">
      <text>
        <t xml:space="preserve">Yine smoke'lar son ana kadar sorun oldu.</t>
      </text>
    </commen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 authorId="0" ref="O40">
      <text>
        <t xml:space="preserve">2 gun tatil ve sunum hazirligi. diger herkes 1 gun tatil.</t>
      </text>
    </comment>
    <comment authorId="0" ref="Q47">
      <text>
        <t xml:space="preserve">QA taskbar üzerimde başladığımızdan bu tarz bir hata oluşuyor fyi
	-Umut Yasin Colak</t>
      </text>
    </comment>
    <comment authorId="0" ref="P47">
      <text>
        <t xml:space="preserve">Burada ben 39 almamıştım fyi
	-Umut Yasin Colak</t>
      </text>
    </comment>
    <comment authorId="0" ref="M24">
      <text>
        <t xml:space="preserve">Smoklar patladı mail reco ile ilgili
	-Jamil Najafov</t>
      </text>
    </comment>
    <comment authorId="0" ref="F28">
      <text>
        <t xml:space="preserve">@didem.akgun@useinsider.com @tufan.cetiner@useinsider.com 
KR research'leri ele alırsak, committed releasable dev tasks 75 + 21 + 21 + 13 oluyor. KR Research'ler Partner Focus'tan sayılmıyor buradaki formüle göre. FYI.
_Assigned to didem.akgun@useinsider.com_
	-Jamil Najafov
Research taskları partner focus'tan exclude edilmeli zaten, committed releasable dev tasks'a research'ler eklenmediyse doğru hesaplamışsınız demektir. fyi
	-Didem Akgun</t>
      </text>
    </comment>
  </commentList>
</comments>
</file>

<file path=xl/comments10.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3">
      <text>
        <t xml:space="preserve">couldn't deploy segmentation task because automation fix was need and we noticed it in the last day of the sprint</t>
      </text>
    </comment>
    <comment authorId="0" ref="C23">
      <text>
        <t xml:space="preserve">Couldn't resolve the problem in the task</t>
      </text>
    </comment>
    <comment authorId="0" ref="E23">
      <text>
        <t xml:space="preserve">2/3 Done. We took the DS package update task because it was blocking our next KR and we faced problems with updating it.</t>
      </text>
    </comment>
    <comment authorId="0" ref="F23">
      <text>
        <t xml:space="preserve">2/3 Done. We are taking CTA KR next sprint as well</t>
      </text>
    </comment>
    <comment authorId="0" ref="G23">
      <text>
        <t xml:space="preserve">we couldn't finish CTA tasks</t>
      </text>
    </commen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
Should be calculated according to dev. But if designers and QAs are also contributing to SG then we should add them as well.</t>
      </text>
    </comment>
    <comment authorId="0" ref="A77">
      <text>
        <t xml:space="preserve">it is binary component like  but to convert it to percentage: if it's 1, enter 100% if not 0%</t>
      </text>
    </comment>
    <comment authorId="0" ref="I31">
      <text>
        <t xml:space="preserve">24/96 = 25% SG effort according to dev effort
	-Zhanara Kolbaeva</t>
      </text>
    </comment>
    <comment authorId="0" ref="H67">
      <text>
        <t xml:space="preserve">@yavuz.oraltay@useinsider.com @zhanara.kolbaeva@useinsider.com burasini soyle hesaplayacagiz dev.lerin aldigi uxi / dev.lerin aldigi toplam efor. Burayi hesaplayarak gidelim hedefi yakalamak icin
	-Aydin Algan</t>
      </text>
    </comment>
  </commentList>
</comments>
</file>

<file path=xl/comments1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List>
</comments>
</file>

<file path=xl/comments1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9">
      <text>
        <t xml:space="preserve">Awaiting for release status was counted as done due to deployment cancelation
----
Awaiting for release status was counted as done due to deployment cancelation.
	-Berna Ertenli</t>
      </text>
    </comment>
    <comment authorId="0" ref="G21">
      <text>
        <t xml:space="preserve">332SP All Done tasks
63SP Des
3SP Rejected
13Sp Research
55SP Ready For Release (counted as Done due to deployment cancelation)
----
332SP All Done tasks
63SP Des
3SP Rejected
13Sp Research
55SP Ready For Release (counted as Done due to deployment cancelation)
	-Berna Ertenli</t>
      </text>
    </comment>
    <comment authorId="0" ref="A25">
      <text>
        <t xml:space="preserve">it is binary component like  but to convert it to percentage: if it's 1, enter 100% if not 0%</t>
      </text>
    </comment>
    <comment authorId="0" ref="A34">
      <text>
        <t xml:space="preserve">it is binary component like sprint goal but to convert it to percentage: if half of the team participated in sprint goal tasks, enter 100% if not 0%</t>
      </text>
    </comment>
    <comment authorId="0" ref="U28">
      <text>
        <t xml:space="preserve">24 sp ready for released
	-Didem Akgun</t>
      </text>
    </comment>
    <comment authorId="0" ref="U21">
      <text>
        <t xml:space="preserve">deployment cancelled 5 times during this sprint - 
24 Ready for Release
21 Awaiting Release
	-Didem Akgun</t>
      </text>
    </comment>
    <comment authorId="0" ref="U24">
      <text>
        <t xml:space="preserve">https://winsider.atlassian.net/browse/DT-21748 - 34
https://winsider.atlassian.net/browse/SD-111212 - 21
https://winsider.atlassian.net/browse/SD-111211 - 34
https://winsider.atlassian.net/browse/SD-111213 - 8
https://winsider.atlassian.net/browse/DT-21746 - 34
https://winsider.atlassian.net/browse/DT-21744 - 5
	-Berna Ertenli
KR - https://winsider.atlassian.net/browse/IPR-18979
	-Berna Ertenli</t>
      </text>
    </comment>
    <comment authorId="0" ref="U23">
      <text>
        <t xml:space="preserve">399 Com
81 Des
21 QA
76 Res
	-Berna Ertenli</t>
      </text>
    </comment>
    <comment authorId="0" ref="T18">
      <text>
        <t xml:space="preserve">397 Done
70 Des
3 Rej
92 Res
12 QA
61 Ready for Rel.
29 Awaiting Rel.
	-Berna Ertenli</t>
      </text>
    </comment>
    <comment authorId="0" ref="T20">
      <text>
        <t xml:space="preserve">397 Done
70 Des
12 QA
61 Ready for Rel.
29 Awaiting Rel.
	-Berna Ertenli</t>
      </text>
    </comment>
    <comment authorId="0" ref="T24">
      <text>
        <t xml:space="preserve">https://winsider.atlassian.net/browse/SD-109559 - 21 
https://winsider.atlassian.net/browse/SD-110812 - 21
https://winsider.atlassian.net/browse/SD-110172 - 3
https://winsider.atlassian.net/browse/SD-110097 - 13
https://winsider.atlassian.net/browse/SD-110811 - 13
https://winsider.atlassian.net/browse/SD-110645 - 8
	-Berna Ertenli
KR - https://winsider.atlassian.net/browse/IPR-1996
	-Berna Ertenli</t>
      </text>
    </comment>
    <comment authorId="0" ref="T23">
      <text>
        <t xml:space="preserve">414 Com
70 Des
18 QA
63 Res
	-Berna Ertenli</t>
      </text>
    </comment>
    <comment authorId="0" ref="S20">
      <text>
        <t xml:space="preserve">227 Done
71 Des
26 Awaiting Rel.
3 Ready for Rel.
	-Berna Ertenli</t>
      </text>
    </comment>
    <comment authorId="0" ref="S18">
      <text>
        <t xml:space="preserve">227 Done
71 Des
4 Rej
26 Ready for Release
3 Awaiting Rel.
	-Berna Ertenli</t>
      </text>
    </comment>
    <comment authorId="0" ref="S24">
      <text>
        <t xml:space="preserve">https://winsider.atlassian.net/browse/DT-21088 - 21
https://winsider.atlassian.net/browse/SD-109993 - 8
https://winsider.atlassian.net/browse/SD-109559 - 45
https://winsider.atlassian.net/browse/SD-109985 - 2
https://winsider.atlassian.net/browse/SD-108028 - 0
https://winsider.atlassian.net/browse/SD-110127 - 13
https://winsider.atlassian.net/browse/SD-110117 - 13
https://winsider.atlassian.net/browse/SD-110172 - 8
https://winsider.atlassian.net/browse/SD-110097 - 21
	-Berna Ertenli
KR - https://winsider.atlassian.net/browse/IPR-1996
	-Berna Ertenli</t>
      </text>
    </comment>
    <comment authorId="0" ref="S23">
      <text>
        <t xml:space="preserve">369 Com
61 Des
20 QA
0 Res
	-Berna Ertenli</t>
      </text>
    </comment>
    <comment authorId="0" ref="R20">
      <text>
        <t xml:space="preserve">202 Done
39 Des
17 QA
19 Awaiting Rel.
	-Berna Ertenli</t>
      </text>
    </comment>
    <comment authorId="0" ref="R18">
      <text>
        <t xml:space="preserve">202 Done
39 Des
17 QA
33 Rej
21 Res
19 Awaiting Rel.
	-Berna Ertenli</t>
      </text>
    </comment>
    <comment authorId="0" ref="R24">
      <text>
        <t xml:space="preserve">https://winsider.atlassian.net/browse/IPR-1996?atlOrigin=eyJpIjoiZTJhYzRjNGVkMTg1NDBjN2EzZWY3YTE4NzI0YzdlYzYiLCJwIjoiaiJ9 - KR
	-Berna Ertenli
https://winsider.atlassian.net/browse/SD-107621 - 0
https://winsider.atlassian.net/browse/SD-107622 - 0
https://winsider.atlassian.net/browse/SD-108086 - 0
https://winsider.atlassian.net/browse/SD-109541 - 42 (21, 13,8)
https://winsider.atlassian.net/browse/SD-108028 - 8
https://winsider.atlassian.net/browse/SD-109089 - 1
https://winsider.atlassian.net/browse/SD-109605 - 21
	-Berna Ertenli</t>
      </text>
    </comment>
    <comment authorId="0" ref="R23">
      <text>
        <t xml:space="preserve">299 Com
60 Des
21 QA
71 Res
	-Berna Ertenli</t>
      </text>
    </comment>
    <comment authorId="0" ref="Q20">
      <text>
        <t xml:space="preserve">101 Done
21 Des
6 QA
18 Awaiting Release
	-Berna Ertenli</t>
      </text>
    </comment>
    <comment authorId="0" ref="Q18">
      <text>
        <t xml:space="preserve">101 Done
21 Des
6 QA
21 Res
18 Awaiting Release
	-Berna Ertenli</t>
      </text>
    </comment>
    <comment authorId="0" ref="D20">
      <text>
        <t xml:space="preserve">369 Done
76 Des
	-Berna Ertenli</t>
      </text>
    </comment>
    <comment authorId="0" ref="Q24">
      <text>
        <t xml:space="preserve">https://winsider.atlassian.net/browse/IPR-1996?atlOrigin=eyJpIjoiYTNjNDRhZmZiMTYxNGY5Njk2MDUzZmI3NDFmN2M2ZTciLCJwIjoiaiJ9 - KR
	-Berna Ertenli
https://winsider.atlassian.net/browse/SD-108028 -21
https://winsider.atlassian.net/browse/SD-108086 - 13
https://winsider.atlassian.net/browse/SD-107622 - 3
https://winsider.atlassian.net/browse/SD-104667 - 21
https://winsider.atlassian.net/browse/SD-109089 - 21
https://winsider.atlassian.net/browse/SD-107621 - 0
	-Berna Ertenli</t>
      </text>
    </comment>
    <comment authorId="0" ref="P24">
      <text>
        <t xml:space="preserve">https://winsider.atlassian.net/browse/IPR-1996?atlOrigin=eyJpIjoiYTNjNDRhZmZiMTYxNGY5Njk2MDUzZmI3NDFmN2M2ZTciLCJwIjoiaiJ9
	-Berna Ertenli</t>
      </text>
    </comment>
    <comment authorId="0" ref="Q23">
      <text>
        <t xml:space="preserve">251 Com
55 Des
8 QA
47 Res
	-Berna Ertenli</t>
      </text>
    </comment>
    <comment authorId="0" ref="P20">
      <text>
        <t xml:space="preserve">149 Done
60 Des
9 QA
	-Berna Ertenli</t>
      </text>
    </comment>
    <comment authorId="0" ref="P18">
      <text>
        <t xml:space="preserve">149 Done
60 Des
9 QA
8 Rej
34 Res
	-Berna Ertenli</t>
      </text>
    </comment>
    <comment authorId="0" ref="P23">
      <text>
        <t xml:space="preserve">333 Com
63 Des
25 QA
81 Res
	-Berna Ertenli</t>
      </text>
    </comment>
    <comment authorId="0" ref="C20">
      <text>
        <t xml:space="preserve">293 Done
89 Des
	-Berna Ertenli</t>
      </text>
    </comment>
    <comment authorId="0" ref="E20">
      <text>
        <t xml:space="preserve">350 Done
59 Des
	-Berna Ertenli</t>
      </text>
    </comment>
    <comment authorId="0" ref="F20">
      <text>
        <t xml:space="preserve">275 Done
76 Des
	-Berna Ertenli</t>
      </text>
    </comment>
    <comment authorId="0" ref="G20">
      <text>
        <t xml:space="preserve">332SP All Done tasks
63SP Des
	-Berna Ertenli</t>
      </text>
    </comment>
    <comment authorId="0" ref="H20">
      <text>
        <t xml:space="preserve">181 Done
66 Des
	-Berna Ertenli</t>
      </text>
    </comment>
    <comment authorId="0" ref="I20">
      <text>
        <t xml:space="preserve">214 Done
73 Des
	-Berna Ertenli</t>
      </text>
    </comment>
    <comment authorId="0" ref="J20">
      <text>
        <t xml:space="preserve">186 Done
55 Des
3 QA
	-Berna Ertenli</t>
      </text>
    </comment>
    <comment authorId="0" ref="K20">
      <text>
        <t xml:space="preserve">267 Done
35 Des
8 QA
	-Berna Ertenli</t>
      </text>
    </comment>
    <comment authorId="0" ref="M20">
      <text>
        <t xml:space="preserve">135 Done
46 Des
17 QA
	-Berna Ertenli</t>
      </text>
    </comment>
    <comment authorId="0" ref="N20">
      <text>
        <t xml:space="preserve">320 Done
63 Des
33 QA
	-Berna Ertenli</t>
      </text>
    </comment>
    <comment authorId="0" ref="O20">
      <text>
        <t xml:space="preserve">194 Done
63 Des
16 QA
	-Berna Ertenli</t>
      </text>
    </comment>
    <comment authorId="0" ref="O18">
      <text>
        <t xml:space="preserve">194 Done
63 Des
16 QA
31 Rej
3 Res
	-Berna Ertenli</t>
      </text>
    </comment>
    <comment authorId="0" ref="O24">
      <text>
        <t xml:space="preserve">https://winsider.atlassian.net/browse/SD-108079 - 2
https://winsider.atlassian.net/browse/SD-107622 - 8
https://winsider.atlassian.net/browse/SD-108074 - 1
https://winsider.atlassian.net/browse/SD-108086 - 13
https://winsider.atlassian.net/browse/SD-108028 - 21
https://winsider.atlassian.net/browse/SD-108049 - 3
https://winsider.atlassian.net/browse/SD-107621 - 8
https://winsider.atlassian.net/browse/SD-108030 - 5
	-Berna Ertenli
https://winsider.atlassian.net/browse/IPR-1996 - KR
	-Berna Ertenli</t>
      </text>
    </comment>
    <comment authorId="0" ref="O23">
      <text>
        <t xml:space="preserve">340 Com
63 Des
16 QA
24 Res
	-Berna Ertenli</t>
      </text>
    </comment>
    <comment authorId="0" ref="O8">
      <text>
        <t xml:space="preserve">+1 var
	-Berna Ertenli</t>
      </text>
    </comment>
    <comment authorId="0" ref="N23">
      <text>
        <t xml:space="preserve">340 Com
63 Des
15 QA
60 Res
	-Berna Ertenli</t>
      </text>
    </comment>
    <comment authorId="0" ref="N18">
      <text>
        <t xml:space="preserve">320 Done
63 Des
33 QA
22 Rej
39 Res
	-Berna Ertenli</t>
      </text>
    </comment>
    <comment authorId="0" ref="N24">
      <text>
        <t xml:space="preserve">https://winsider.atlassian.net/browse/SD-105631 -8
https://winsider.atlassian.net/browse/SD-106582 - 21
https://winsider.atlassian.net/browse/SD-105864 - 5
https://winsider.atlassian.net/browse/SD-107194 - 13
https://winsider.atlassian.net/browse/SD-102650 - 8
https://winsider.atlassian.net/browse/SD-106998 - 8
https://winsider.atlassian.net/browse/SD-105632 - 5
	-Berna Ertenli
KR
https://winsider.atlassian.net/browse/IPR-1996
https://winsider.atlassian.net/browse/IPR-783
	-Berna Ertenli</t>
      </text>
    </comment>
    <comment authorId="0" ref="M18">
      <text>
        <t xml:space="preserve">135 Done
46 Des
17 QA
24 Rej
	-Berna Ertenli</t>
      </text>
    </comment>
    <comment authorId="0" ref="J24">
      <text>
        <t xml:space="preserve">https://winsider.atlassian.net/browse/IPR-1996?atlOrigin=eyJpIjoiNDA5NzBlMzIwZTNhNDk3ZGJkODAwNWRiMTNjZGMxYzUiLCJwIjoiaiJ9
	-Berna Ertenli</t>
      </text>
    </comment>
    <comment authorId="0" ref="M24">
      <text>
        <t xml:space="preserve">https://winsider.atlassian.net/browse/SD-106891 - 13
https://winsider.atlassian.net/browse/SD-106998 - 13
https://winsider.atlassian.net/browse/SD-106582 - 55
https://winsider.atlassian.net/browse/SD-106470 - 0
	-Berna Ertenli
KR
https://winsider.atlassian.net/browse/IPR-1996?atlOrigin=eyJpIjoiNDA5NzBlMzIwZTNhNDk3ZGJkODAwNWRiMTNjZGMxYzUiLCJwIjoiaiJ9
	-Berna Ertenli</t>
      </text>
    </comment>
    <comment authorId="0" ref="M23">
      <text>
        <t xml:space="preserve">209 Com
46 Des
18 Res
14 QA
	-Berna Ertenli</t>
      </text>
    </comment>
    <comment authorId="0" ref="L21">
      <text>
        <t xml:space="preserve">Deployment cancelled - 
198 - 29
	-Berna Ertenli</t>
      </text>
    </comment>
    <comment authorId="0" ref="L18">
      <text>
        <t xml:space="preserve">241 Done
29 Des
14 QA
	-Berna Ertenli</t>
      </text>
    </comment>
    <comment authorId="0" ref="L65">
      <text>
        <t xml:space="preserve">7 + 5
	-Berna Ertenli</t>
      </text>
    </comment>
    <comment authorId="0" ref="L63">
      <text>
        <t xml:space="preserve">21 + 24
	-Berna Ertenli</t>
      </text>
    </comment>
    <comment authorId="0" ref="L23">
      <text>
        <t xml:space="preserve">333 Com
50 Des
13 Res
14 QA
	-Berna Ertenli</t>
      </text>
    </comment>
    <comment authorId="0" ref="L24">
      <text>
        <t xml:space="preserve">https://winsider.atlassian.net/browse/SD-106470 - 55
https://winsider.atlassian.net/browse/SD-106577 - 13
https://winsider.atlassian.net/browse/SD-106581 - 5
https://winsider.atlassian.net/browse/SD-106588 - 8
https://winsider.atlassian.net/browse/SD-106584 - 21
https://winsider.atlassian.net/browse/SD-106579 - 5
	-Berna Ertenli
KR - https://winsider.atlassian.net/browse/IPR-1996
	-Berna Ertenli</t>
      </text>
    </comment>
    <comment authorId="0" ref="K24">
      <text>
        <t xml:space="preserve">https://winsider.atlassian.net/browse/SD-105862
https://winsider.atlassian.net/browse/SD-105861
https://winsider.atlassian.net/browse/SD-105859
https://winsider.atlassian.net/browse/SD-105869
https://winsider.atlassian.net/browse/SD-105868
	-Berna Ertenli
https://winsider.atlassian.net/browse/IPR-1996?atlOrigin=eyJpIjoiNDA5NzBlMzIwZTNhNDk3ZGJkODAwNWRiMTNjZGMxYzUiLCJwIjoiaiJ9
	-Berna Ertenli</t>
      </text>
    </comment>
    <comment authorId="0" ref="K23">
      <text>
        <t xml:space="preserve">293 Com
35 Des
34 Res
8 QA
	-Berna Ertenli</t>
      </text>
    </comment>
    <comment authorId="0" ref="K18">
      <text>
        <t xml:space="preserve">267 Done
35 Des
3 Rej
8 QA
22 Res
	-Berna Ertenli</t>
      </text>
    </comment>
    <comment authorId="0" ref="K21">
      <text>
        <t xml:space="preserve">165 Done
19 Des
21 Research
8 QA
3 Rejected
	-Zhanara Kolbaeva
Update:
233 Done
35 Des
3 Rej
8 QA
22 Res
	-Berna Ertenli</t>
      </text>
    </comment>
    <comment authorId="0" ref="J65">
      <text>
        <t xml:space="preserve">8+6
	-Berna Ertenli</t>
      </text>
    </comment>
    <comment authorId="0" ref="J60">
      <text>
        <t xml:space="preserve">13+3
	-Berna Ertenli</t>
      </text>
    </comment>
    <comment authorId="0" ref="J63">
      <text>
        <t xml:space="preserve">24+26
	-Berna Ertenli</t>
      </text>
    </comment>
    <comment authorId="0" ref="J56">
      <text>
        <t xml:space="preserve">"+" ones are the ready for release ones
	-Berna Ertenli</t>
      </text>
    </comment>
    <comment authorId="0" ref="J21">
      <text>
        <t xml:space="preserve">186 Done
55 Des
3 QA
3 Rej
13 Res
	-Berna Ertenli</t>
      </text>
    </comment>
    <comment authorId="0" ref="J23">
      <text>
        <t xml:space="preserve">333 Com
64 Des
47 Res
16 QA
	-Berna Ertenli</t>
      </text>
    </comment>
    <comment authorId="0" ref="I21">
      <text>
        <t xml:space="preserve">214 Done
73 Des
13 Res
3 Rej
	-Berna Ertenli</t>
      </text>
    </comment>
    <comment authorId="0" ref="I33">
      <text>
        <t xml:space="preserve">https://winsider.atlassian.net/browse/SD-104535
https://winsider.atlassian.net/browse/SD-101824
https://winsider.atlassian.net/browse/SD-100834
- Wanted to finish this KR without distracting the focus
	-Berna Ertenli
@omer@useinsider.com ile geriye dönük baktığımızda kr ı done a götürmek için bu taskta yapılmıştı. bunu goal yüzdesine dahil ediyoruz https://winsider.atlassian.net/browse/SD-104834
	-Eray Akartuna</t>
      </text>
    </comment>
    <comment authorId="0" ref="I24">
      <text>
        <t xml:space="preserve">https://winsider.atlassian.net/browse/IPR-821?atlOrigin=eyJpIjoiZDY4ZGRkMWVjNjMzNDk5NGI4YjExMjFlMmQzYTE0MGQiLCJwIjoiaiJ9
	-Berna Ertenli</t>
      </text>
    </comment>
    <comment authorId="0" ref="I23">
      <text>
        <t xml:space="preserve">328 Com
78 Des
68 Res
14 QA
	-Berna Ertenli</t>
      </text>
    </comment>
    <comment authorId="0" ref="B24">
      <text>
        <t xml:space="preserve">https://winsider.atlassian.net/browse/IPR-783?atlOrigin=eyJpIjoiZjg3ZTJkODQ2NmJiNDE1YTljYTYzYzM0MzQ2MjQxMjUiLCJwIjoiaiJ9
	-Berna Ertenli</t>
      </text>
    </comment>
    <comment authorId="0" ref="C24">
      <text>
        <t xml:space="preserve">https://winsider.atlassian.net/browse/IPR-783?atlOrigin=eyJpIjoiZjg3ZTJkODQ2NmJiNDE1YTljYTYzYzM0MzQ2MjQxMjUiLCJwIjoiaiJ9
	-Berna Ertenli</t>
      </text>
    </comment>
    <comment authorId="0" ref="D24">
      <text>
        <t xml:space="preserve">https://winsider.atlassian.net/browse/IPR-783?atlOrigin=eyJpIjoiZjg3ZTJkODQ2NmJiNDE1YTljYTYzYzM0MzQ2MjQxMjUiLCJwIjoiaiJ9
	-Berna Ertenli</t>
      </text>
    </comment>
    <comment authorId="0" ref="F24">
      <text>
        <t xml:space="preserve">https://winsider.atlassian.net/browse/IPR-783?atlOrigin=eyJpIjoiZjg3ZTJkODQ2NmJiNDE1YTljYTYzYzM0MzQ2MjQxMjUiLCJwIjoiaiJ9
	-Berna Ertenli</t>
      </text>
    </comment>
    <comment authorId="0" ref="E24">
      <text>
        <t xml:space="preserve">https://winsider.atlassian.net/browse/IPR-783?atlOrigin=eyJpIjoiZjg3ZTJkODQ2NmJiNDE1YTljYTYzYzM0MzQ2MjQxMjUiLCJwIjoiaiJ9
	-Berna Ertenli</t>
      </text>
    </comment>
    <comment authorId="0" ref="H24">
      <text>
        <t xml:space="preserve">https://winsider.atlassian.net/browse/IPR-821?atlOrigin=eyJpIjoiY2Q0MDY2ZTVkZjI2NDA5ODhmZDMzOTlkNWI3YzY3YzMiLCJwIjoiaiJ9
	-Berna Ertenli</t>
      </text>
    </comment>
    <comment authorId="0" ref="G24">
      <text>
        <t xml:space="preserve">https://winsider.atlassian.net/browse/IPR-821?atlOrigin=eyJpIjoiY2Q0MDY2ZTVkZjI2NDA5ODhmZDMzOTlkNWI3YzY3YzMiLCJwIjoiaiJ9
	-Berna Ertenli</t>
      </text>
    </comment>
    <comment authorId="0" ref="H21">
      <text>
        <t xml:space="preserve">181 Done
66 Des
21 Res
5 Rej
	-Berna Ertenli</t>
      </text>
    </comment>
    <comment authorId="0" ref="H23">
      <text>
        <t xml:space="preserve">320 Com
74 Des
29 Res
	-Berna Ertenli</t>
      </text>
    </comment>
    <comment authorId="0" ref="G23">
      <text>
        <t xml:space="preserve">347 Com
63 Des
21 Res
	-Berna Ertenli</t>
      </text>
    </comment>
    <comment authorId="0" ref="F21">
      <text>
        <t xml:space="preserve">275 Done
76 Des
26 Res
15 Rej
	-Berna Ertenli</t>
      </text>
    </comment>
    <comment authorId="0" ref="F23">
      <text>
        <t xml:space="preserve">362 Total
84 Des
42 Re
236 Re
	-Berna Ertenli</t>
      </text>
    </comment>
    <comment authorId="0" ref="E21">
      <text>
        <t xml:space="preserve">350 Done
59 Des
74 Res
	-Berna Ertenli</t>
      </text>
    </comment>
    <comment authorId="0" ref="E23">
      <text>
        <t xml:space="preserve">352 Total
80 Des
95 Re
177 Re
	-Berna Ertenli</t>
      </text>
    </comment>
    <comment authorId="0" ref="D21">
      <text>
        <t xml:space="preserve">147SP Awaiting
34SP Ready for Release
8Sp Rejected
	-Zhanara Kolbaeva</t>
      </text>
    </comment>
    <comment authorId="0" ref="D23">
      <text>
        <t xml:space="preserve">409 Total
89 Des
76 Re
244 Rel
	-Berna Ertenli</t>
      </text>
    </comment>
    <comment authorId="0" ref="C21">
      <text>
        <t xml:space="preserve">293 Done
89 Des
21 Res
	-Berna Ertenli</t>
      </text>
    </comment>
    <comment authorId="0" ref="C23">
      <text>
        <t xml:space="preserve">396 Total
89 Des
60 Re
247 Rel
	-Berna Ertenli</t>
      </text>
    </comment>
    <comment authorId="0" ref="B21">
      <text>
        <t xml:space="preserve">250 Total Done
89 Des Done
2 QA Done
37 Re Done
122 Released
	-Berna Ertenli</t>
      </text>
    </comment>
    <comment authorId="0" ref="B23">
      <text>
        <t xml:space="preserve">392 Total
89 Des
7 QA
63 Re
233 Rel
	-Berna Ertenli</t>
      </text>
    </comment>
  </commentList>
</comments>
</file>

<file path=xl/comments1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3">
      <text>
        <t xml:space="preserve">it is binary component like sprint goal but to convert it to percentage: if half of the team participated in sprint goal tasks, enter 100% if not 0%</t>
      </text>
    </comment>
    <comment authorId="0" ref="V33">
      <text>
        <t xml:space="preserve">1
	-Semih Unal
semih
	-Semih Unal</t>
      </text>
    </comment>
    <comment authorId="0" ref="Q33">
      <text>
        <t xml:space="preserve">3 
Umur, Fatih, Semih
	-Semih Unal</t>
      </text>
    </comment>
    <comment authorId="0" ref="T33">
      <text>
        <t xml:space="preserve">3
	-Semih Unal</t>
      </text>
    </comment>
    <comment authorId="0" ref="U33">
      <text>
        <t xml:space="preserve">1
	-Semih Unal
fatih
	-Semih Unal</t>
      </text>
    </comment>
    <comment authorId="0" ref="S33">
      <text>
        <t xml:space="preserve">3/3
	-Semih Unal</t>
      </text>
    </comment>
    <comment authorId="0" ref="A29">
      <text>
        <t xml:space="preserve">Done Bug/All Committed
	-Didem Akgun</t>
      </text>
    </comment>
    <comment authorId="0" ref="R36">
      <text>
        <t xml:space="preserve">https://winsider.atlassian.net/issues/?filter=15525&amp;jql=labels%20%3D%20unit_test%20AND%20sprint%20%3D%2011179
	-Semih Unal</t>
      </text>
    </comment>
    <comment authorId="0" ref="R38">
      <text>
        <t xml:space="preserve">https://winsider.atlassian.net/issues/?filter=15525&amp;jql=labels%20%3D%20security_task%20AND%20sprint%20%3D%2011179
	-Semih Unal</t>
      </text>
    </comment>
    <comment authorId="0" ref="R40">
      <text>
        <t xml:space="preserve">https://winsider.atlassian.net/issues/?filter=15525&amp;jql=labels%20%3D%20tech_debt%20AND%20sprint%20%3D%2011179
	-Semih Unal</t>
      </text>
    </comment>
    <comment authorId="0" ref="R33">
      <text>
        <t xml:space="preserve">4/4
	-Semih Unal</t>
      </text>
    </comment>
    <comment authorId="0" ref="P33">
      <text>
        <t xml:space="preserve">3/4
	-Semih Unal
Fatih, Semih, Umur
	-Semih Unal</t>
      </text>
    </comment>
    <comment authorId="0" ref="P46">
      <text>
        <t xml:space="preserve">34+5+34+13+13
	-Semih Unal</t>
      </text>
    </comment>
    <comment authorId="0" ref="O7">
      <text>
        <t xml:space="preserve">Mert'in 8 efor -&gt; ilerledi.
Samet'in 1 efor -&gt; kaldı.
Tugay extra 3 efor-&gt; ilerletti.
8+3-1 = 10
	-Semih Unal</t>
      </text>
    </comment>
    <comment authorId="0" ref="O33">
      <text>
        <t xml:space="preserve">3/4
	-Semih Unal
Fatih, Semih, Samet
	-Semih Unal</t>
      </text>
    </comment>
    <comment authorId="0" ref="N33">
      <text>
        <t xml:space="preserve">4/7
	-Aziza Kasenova</t>
      </text>
    </comment>
    <comment authorId="0" ref="M33">
      <text>
        <t xml:space="preserve">3/6
	-Aziza Kasenova</t>
      </text>
    </comment>
    <comment authorId="0" ref="L33">
      <text>
        <t xml:space="preserve">4/6
	-Aziza Kasenova</t>
      </text>
    </comment>
    <comment authorId="0" ref="K34">
      <text>
        <t xml:space="preserve">yine ayni hata var burada, @didem.akgun@useinsider.com
	-Aziza Kasenova
%30 gelmiş 15 K30'dan 15 K31'den. hatayı göremedim
	-Didem Akgun
manually girdim ben 30u :D
	-Aziza Kasenova</t>
      </text>
    </comment>
    <comment authorId="0" ref="J19">
      <text>
        <t xml:space="preserve">Aziza: check
	-Aziza Kasenova</t>
      </text>
    </comment>
    <comment authorId="0" ref="J33">
      <text>
        <t xml:space="preserve">3/6 -&gt; 50%
	-Aziza Kasenova</t>
      </text>
    </comment>
    <comment authorId="0" ref="I20">
      <text>
        <t xml:space="preserve">do we need to calculate rejected ones here, @didem.akgun@useinsider.com ?
	-Aziza Kasenova
15 with SEL task
	-Aziza Kasenova
nope rejected ones and sel tasks are not included
	-Didem Akgun</t>
      </text>
    </comment>
    <comment authorId="0" ref="I8">
      <text>
        <t xml:space="preserve">different from pickle bc of Yaman's SEL task
	-Aziza Kasenova</t>
      </text>
    </comment>
    <comment authorId="0" ref="H8">
      <text>
        <t xml:space="preserve">uyusmuyor
	-Aziza Kasenova</t>
      </text>
    </comment>
    <comment authorId="0" ref="H33">
      <text>
        <t xml:space="preserve">4/7
	-Aziza Kasenova</t>
      </text>
    </comment>
    <comment authorId="0" ref="G33">
      <text>
        <t xml:space="preserve">2 devs
	-Didem Akgun</t>
      </text>
    </comment>
    <comment authorId="0" ref="F33">
      <text>
        <t xml:space="preserve">5 devs
	-Aziza Kasenova</t>
      </text>
    </comment>
    <comment authorId="0" ref="E33">
      <text>
        <t xml:space="preserve">5 devs out of 6, 37%
	-Aziza Kasenova</t>
      </text>
    </comment>
    <comment authorId="0" ref="D33">
      <text>
        <t xml:space="preserve">4/7
	-Didem Akgun</t>
      </text>
    </comment>
    <comment authorId="0" ref="C33">
      <text>
        <t xml:space="preserve">4/7, %57
	-Didem Akgun</t>
      </text>
    </comment>
    <comment authorId="0" ref="B33">
      <text>
        <t xml:space="preserve">sprint'te olan toplam dev. 6, %33
	-Didem Akgun</t>
      </text>
    </comment>
  </commentList>
</comments>
</file>

<file path=xl/comments1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3">
      <text>
        <t xml:space="preserve">it is binary component like sprint goal but to convert it to percentage: if half of the team participated in sprint goal tasks, enter 100% if not 0%</t>
      </text>
    </comment>
    <comment authorId="0" ref="U27">
      <text>
        <t xml:space="preserve">deployment cancelled 3 days in a row
	-Didem Akgun</t>
      </text>
    </comment>
    <comment authorId="0" ref="U47">
      <text>
        <t xml:space="preserve">42
	-Ugurcan Ertek</t>
      </text>
    </comment>
    <comment authorId="0" ref="S23">
      <text>
        <t xml:space="preserve">- Attribute task is rejected
- Cant finalized dropdown modal
	-Ugurcan Ertek</t>
      </text>
    </comment>
    <comment authorId="0" ref="R23">
      <text>
        <t xml:space="preserve">Dropdown task zamanında bitirelemedi
	-Ugurcan Ertek</t>
      </text>
    </comment>
    <comment authorId="0" ref="P26">
      <text>
        <t xml:space="preserve">Bug'lara ağırlık verilen bir sprint oldu
	-Ugurcan Ertek</t>
      </text>
    </comment>
    <comment authorId="0" ref="P23">
      <text>
        <t xml:space="preserve">Grooming yapılacaktı ancak postpone edildi
	-Ugurcan Ertek</t>
      </text>
    </comment>
    <comment authorId="0" ref="P33">
      <text>
        <t xml:space="preserve">3
	-Ugurcan Ertek</t>
      </text>
    </comment>
    <comment authorId="0" ref="O33">
      <text>
        <t xml:space="preserve">3
	-Aziza Kasenova</t>
      </text>
    </comment>
    <comment authorId="0" ref="O23">
      <text>
        <t xml:space="preserve">Test&amp;preview awaiting release'e geldi ancak approve verilemedi
	-Ugurcan Ertek</t>
      </text>
    </comment>
    <comment authorId="0" ref="O40">
      <text>
        <t xml:space="preserve">https://winsider.atlassian.net/browse/SD-104939
https://winsider.atlassian.net/browse/SD-103481
	-Ugurcan Ertek</t>
      </text>
    </comment>
    <comment authorId="0" ref="O36">
      <text>
        <t xml:space="preserve">https://winsider.atlassian.net/browse/SD-104547
	-Ugurcan Ertek</t>
      </text>
    </comment>
    <comment authorId="0" ref="A21">
      <text>
        <t xml:space="preserve">Diff between total effort and dev done tasks
	-Ugurcan Ertek</t>
      </text>
    </comment>
    <comment authorId="0" ref="A20">
      <text>
        <t xml:space="preserve">Status is "released on prod" or "done" tasks
	-Ugurcan Ertek</t>
      </text>
    </comment>
    <comment authorId="0" ref="A19">
      <text>
        <t xml:space="preserve">All done dev tasks
	-Ugurcan Ertek</t>
      </text>
    </comment>
    <comment authorId="0" ref="A18">
      <text>
        <t xml:space="preserve">Releasable Done Tasks
	-Ugurcan Ertek</t>
      </text>
    </comment>
    <comment authorId="0" ref="I27">
      <text>
        <t xml:space="preserve">affected by deployment freeze on 16.04
	-Didem Akgun</t>
      </text>
    </comment>
    <comment authorId="0" ref="E27">
      <text>
        <t xml:space="preserve">deployment iptal olduğu için kalan tasklar oldu
	-Didem Akgun</t>
      </text>
    </comment>
    <comment authorId="0" ref="C27">
      <text>
        <t xml:space="preserve">- QA eksikliği, yetiştiremedik, aslında sprint güzel gitti.
	-Tugay İlik</t>
      </text>
    </comment>
    <comment authorId="0" ref="B24">
      <text>
        <t xml:space="preserve">3 out of 5 tasks are done
	-Didem Akgun</t>
      </text>
    </comment>
    <comment authorId="0" ref="B33">
      <text>
        <t xml:space="preserve">out of 4, %75
	-Didem Akgun</t>
      </text>
    </comment>
  </commentList>
</comments>
</file>

<file path=xl/comments15.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3">
      <text>
        <t xml:space="preserve">it is binary component like sprint goal but to convert it to percentage: if half of the team participated in sprint goal tasks, enter 100% if not 0%</t>
      </text>
    </comment>
    <comment authorId="0" ref="V33">
      <text>
        <t xml:space="preserve">2/3
	-Didem Akgun</t>
      </text>
    </comment>
    <comment authorId="0" ref="U27">
      <text>
        <t xml:space="preserve">sprintin son 2 günü deployment cancel oldu
	-Didem Akgun
+ otomasyonda tasklar çok uzun bekledi
	-Didem Akgun</t>
      </text>
    </comment>
    <comment authorId="0" ref="U33">
      <text>
        <t xml:space="preserve">1/3
	-Didem Akgun</t>
      </text>
    </comment>
    <comment authorId="0" ref="T27">
      <text>
        <t xml:space="preserve">deployment canceled 3 times during the sprint
	-Didem Akgun</t>
      </text>
    </comment>
    <comment authorId="0" ref="T33">
      <text>
        <t xml:space="preserve">3/3
	-Didem Akgun</t>
      </text>
    </comment>
    <comment authorId="0" ref="S33">
      <text>
        <t xml:space="preserve">3/3
	-Didem Akgun</t>
      </text>
    </comment>
    <comment authorId="0" ref="R33">
      <text>
        <t xml:space="preserve">3/3
	-Didem Akgun</t>
      </text>
    </comment>
    <comment authorId="0" ref="Q33">
      <text>
        <t xml:space="preserve">3/3
	-Didem Akgun</t>
      </text>
    </comment>
    <comment authorId="0" ref="P33">
      <text>
        <t xml:space="preserve">2/3
	-Didem Akgun</t>
      </text>
    </comment>
    <comment authorId="0" ref="O33">
      <text>
        <t xml:space="preserve">3/3
	-Didem Akgun</t>
      </text>
    </comment>
  </commentList>
</comments>
</file>

<file path=xl/comments16.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0">
      <text>
        <t xml:space="preserve">37 sp in Awaiting Release</t>
      </text>
    </comment>
    <comment authorId="0" ref="D20">
      <text>
        <t xml:space="preserve">123 SP in Ready For Release</t>
      </text>
    </comment>
    <comment authorId="0" ref="E20">
      <text>
        <t xml:space="preserve">71 SP in in Ready For Release</t>
      </text>
    </comment>
    <comment authorId="0" ref="F20">
      <text>
        <t xml:space="preserve">55 SP in in Ready For Release</t>
      </text>
    </comment>
    <comment authorId="0" ref="G20">
      <text>
        <t xml:space="preserve">55 story points in Ready For Release</t>
      </text>
    </comment>
    <comment authorId="0" ref="H20">
      <text>
        <t xml:space="preserve">69 story points in Ready For Release</t>
      </text>
    </comment>
    <comment authorId="0" ref="I20">
      <text>
        <t xml:space="preserve">68 story points in Ready For Release</t>
      </text>
    </comment>
    <comment authorId="0" ref="J20">
      <text>
        <t xml:space="preserve">34 SP in Ready For Release</t>
      </text>
    </comment>
    <comment authorId="0" ref="K20">
      <text>
        <t xml:space="preserve">72 SP in Ready For Release</t>
      </text>
    </comment>
    <comment authorId="0" ref="L20">
      <text>
        <t xml:space="preserve">20 SP in Ready For Release</t>
      </text>
    </comment>
    <comment authorId="0" ref="M20">
      <text>
        <t xml:space="preserve">50 SP in Ready For Release</t>
      </text>
    </comment>
    <comment authorId="0" ref="I22">
      <text>
        <t xml:space="preserve">35 SP QA task
21 SP  Research task</t>
      </text>
    </comment>
    <comment authorId="0" ref="A24">
      <text>
        <t xml:space="preserve">it is binary component like  but to convert it to percentage: if it's 1, enter 100% if not 0%</t>
      </text>
    </comment>
    <comment authorId="0" ref="D27">
      <text>
        <t xml:space="preserve">123 SP in Ready For Release</t>
      </text>
    </comment>
    <comment authorId="0" ref="G31">
      <text>
        <t xml:space="preserve">omer abi will make some communication about this ratio</t>
      </text>
    </comment>
    <comment authorId="0" ref="A32">
      <text>
        <t xml:space="preserve">it is binary component like sprint goal but to convert it to percentage: if half of the team participated in sprint goal tasks, enter 100% if not 0%</t>
      </text>
    </comment>
    <comment authorId="0" ref="B32">
      <text>
        <t xml:space="preserve">apo</t>
      </text>
    </comment>
    <comment authorId="0" ref="C32">
      <text>
        <t xml:space="preserve">apo</t>
      </text>
    </comment>
    <comment authorId="0" ref="D32">
      <text>
        <t xml:space="preserve">laith
hossin
oleksandr
sezer</t>
      </text>
    </comment>
    <comment authorId="0" ref="E32">
      <text>
        <t xml:space="preserve">apo
laith
oleks</t>
      </text>
    </comment>
    <comment authorId="0" ref="F32">
      <text>
        <t xml:space="preserve">kenan
sezer
oleks
laith
evgeny</t>
      </text>
    </comment>
    <comment authorId="0" ref="G32">
      <text>
        <t xml:space="preserve">apo
kenan
oleks
laith</t>
      </text>
    </comment>
    <comment authorId="0" ref="H32">
      <text>
        <t xml:space="preserve">laith oleks sezer</t>
      </text>
    </comment>
    <comment authorId="0" ref="I32">
      <text>
        <t xml:space="preserve">apo
laith
kenan
oleks
sezer</t>
      </text>
    </comment>
    <comment authorId="0" ref="J32">
      <text>
        <t xml:space="preserve">laith
apo
kenan
sezer</t>
      </text>
    </comment>
    <comment authorId="0" ref="K32">
      <text>
        <t xml:space="preserve">laith
apo
sezer
oleks
kenan</t>
      </text>
    </comment>
    <comment authorId="0" ref="L32">
      <text>
        <t xml:space="preserve">all the team</t>
      </text>
    </comment>
    <comment authorId="0" ref="M32">
      <text>
        <t xml:space="preserve">kenan
oleks
sezer</t>
      </text>
    </comment>
    <comment authorId="0" ref="N32">
      <text>
        <t xml:space="preserve">olek
kenan
sezer
laith</t>
      </text>
    </comment>
    <comment authorId="0" ref="P38">
      <text>
        <t xml:space="preserve">Vacationing</t>
      </text>
    </comment>
    <comment authorId="0" ref="B39">
      <text>
        <t xml:space="preserve">on vacation</t>
      </text>
    </comment>
    <comment authorId="0" ref="G41">
      <text>
        <t xml:space="preserve">1 days leave</t>
      </text>
    </comment>
    <comment authorId="0" ref="H41">
      <text>
        <t xml:space="preserve">2 days leave
</t>
      </text>
    </comment>
    <comment authorId="0" ref="B43">
      <text>
        <t xml:space="preserve">on vacation</t>
      </text>
    </comment>
    <comment authorId="0" ref="T32">
      <text>
        <t xml:space="preserve">reza, laith
	-Didem Akgun</t>
      </text>
    </comment>
    <comment authorId="0" ref="T20">
      <text>
        <t xml:space="preserve">deployment cancelled 5 days during the sprint
	-Didem Akgun</t>
      </text>
    </comment>
    <comment authorId="0" ref="S32">
      <text>
        <t xml:space="preserve">all devs.
	-Didem Akgun</t>
      </text>
    </comment>
    <comment authorId="0" ref="R23">
      <text>
        <t xml:space="preserve">due to low QA capacity (1 QA was off whole sprint) &amp; amount of incident and bug tasks
	-Didem Akgun</t>
      </text>
    </comment>
    <comment authorId="0" ref="R32">
      <text>
        <t xml:space="preserve">apo,laith,kenan,reza,oleks
	-Didem Akgun</t>
      </text>
    </comment>
    <comment authorId="0" ref="Q20">
      <text>
        <t xml:space="preserve">26 AR, 12 RFR
	-Didem Akgun</t>
      </text>
    </comment>
    <comment authorId="0" ref="Q32">
      <text>
        <t xml:space="preserve">laith, oleks, kenan
	-Didem Akgun</t>
      </text>
    </comment>
    <comment authorId="0" ref="P20">
      <text>
        <t xml:space="preserve">25 ready for, 28 awaiting release
	-Didem Akgun</t>
      </text>
    </comment>
    <comment authorId="0" ref="P32">
      <text>
        <t xml:space="preserve">apo, sezer, kenan
	-Didem Akgun</t>
      </text>
    </comment>
    <comment authorId="0" ref="O20">
      <text>
        <t xml:space="preserve">23 SP Ready for Release, 3 SP Awaiting Release
	-Didem Akgun</t>
      </text>
    </comment>
    <comment authorId="0" ref="O32">
      <text>
        <t xml:space="preserve">sezer, oleks, apo, laith, kenan
	-Didem Akgun</t>
      </text>
    </comment>
  </commentList>
</comments>
</file>

<file path=xl/comments17.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 authorId="0" ref="S14">
      <text>
        <t xml:space="preserve">+13 sp : emerged &amp; removed
	-Irem Ekser</t>
      </text>
    </comment>
    <comment authorId="0" ref="S55">
      <text>
        <t xml:space="preserve">+ 8sp release plan
	-Irem Ekser</t>
      </text>
    </comment>
    <comment authorId="0" ref="S42">
      <text>
        <t xml:space="preserve">+8 sp release plan
	-Irem Ekser</t>
      </text>
    </comment>
    <comment authorId="0" ref="R49">
      <text>
        <t xml:space="preserve">21 knowledge sharing
	-Irem Ekser</t>
      </text>
    </comment>
    <comment authorId="0" ref="R60">
      <text>
        <t xml:space="preserve">21 knowledge sharing
	-Irem Ekser</t>
      </text>
    </comment>
    <comment authorId="0" ref="R55">
      <text>
        <t xml:space="preserve">qa camp
	-Irem Ekser</t>
      </text>
    </comment>
    <comment authorId="0" ref="R52">
      <text>
        <t xml:space="preserve">8 sp rejected
	-Irem Ekser</t>
      </text>
    </comment>
    <comment authorId="0" ref="M32">
      <text>
        <t xml:space="preserve">2 devs out of 5
	-Didem Akgun</t>
      </text>
    </comment>
    <comment authorId="0" ref="G23">
      <text>
        <t xml:space="preserve">HTML Editor MVP Scope + QA Camp findings were done + enigma task was blocked that is why as a team decision goal is success
	-Didem Akgun</t>
      </text>
    </comment>
    <comment authorId="0" ref="F23">
      <text>
        <t xml:space="preserve">8 tasks done - 1 uat - 1 in prog.
- MVP Scope = HTML Editor
	-Didem Akgun</t>
      </text>
    </comment>
    <comment authorId="0" ref="E23">
      <text>
        <t xml:space="preserve">1 task remained only, 6 tasks done
	-Didem Akgun</t>
      </text>
    </comment>
    <comment authorId="0" ref="B32">
      <text>
        <t xml:space="preserve">3 out of 6
	-Didem Akgun</t>
      </text>
    </comment>
  </commentList>
</comments>
</file>

<file path=xl/comments18.xml><?xml version="1.0" encoding="utf-8"?>
<comments xmlns:r="http://schemas.openxmlformats.org/officeDocument/2006/relationships" xmlns="http://schemas.openxmlformats.org/spreadsheetml/2006/main" xmlns:xr="http://schemas.microsoft.com/office/spreadsheetml/2014/revision">
  <authors>
    <author/>
  </authors>
  <commentList>
    <comment authorId="0" ref="I8">
      <text>
        <t xml:space="preserve">54SP QA tasks</t>
      </text>
    </comment>
    <comment authorId="0" ref="J8">
      <text>
        <t xml:space="preserve">54SP QA tasks</t>
      </text>
    </comment>
    <comment authorId="0" ref="D20">
      <text>
        <t xml:space="preserve">18SP Awaiting
50SP Ready for Release
13SP Rejected</t>
      </text>
    </comment>
    <comment authorId="0" ref="E20">
      <text>
        <t xml:space="preserve">18SP Awaiting
13SP Ready for Release</t>
      </text>
    </comment>
    <comment authorId="0" ref="G20">
      <text>
        <t xml:space="preserve">47SP Awaiting Release
55SP Ready For Release</t>
      </text>
    </comment>
    <comment authorId="0" ref="H20">
      <text>
        <t xml:space="preserve">47SP Awaiting
81SP Ready for Release
3SP Rejected</t>
      </text>
    </comment>
    <comment authorId="0" ref="H22">
      <text>
        <t xml:space="preserve">17SP Research
24SP QA Tasks</t>
      </text>
    </comment>
    <comment authorId="0" ref="I23">
      <text>
        <t xml:space="preserve">5/37 tasks are undone the rest are done.
We couldn't open the feature to beta partners</t>
      </text>
    </comment>
    <comment authorId="0" ref="J23">
      <text>
        <t xml:space="preserve">5/37 tasks are undone the rest are done.
We couldn't open the feature to beta partners</t>
      </text>
    </comment>
    <comment authorId="0" ref="L23">
      <text>
        <t xml:space="preserve">16SP View in Browser (KR)
54SP Bugs
57SP Incident Actions</t>
      </text>
    </comment>
    <comment authorId="0" ref="A24">
      <text>
        <t xml:space="preserve">it is binary component like  but to convert it to percentage: if it's 1, enter 100% if not 0%</t>
      </text>
    </comment>
    <comment authorId="0" ref="G27">
      <text>
        <t xml:space="preserve">deployment got cancelled on March 25, 27</t>
      </text>
    </comment>
    <comment authorId="0" ref="I31">
      <text>
        <t xml:space="preserve">SG effort: 193</t>
      </text>
    </comment>
    <comment authorId="0" ref="J31">
      <text>
        <t xml:space="preserve">SG effort: 193</t>
      </text>
    </comment>
    <comment authorId="0" ref="A32">
      <text>
        <t xml:space="preserve">it is binary component like sprint goal but to convert it to percentage: if half of the team participated in sprint goal tasks, enter 100% if not 0%</t>
      </text>
    </comment>
    <comment authorId="0" ref="U32">
      <text>
        <t xml:space="preserve">calculate all empty values from this row
	-Vlad Shusterman</t>
      </text>
    </comment>
    <comment authorId="0" ref="T23">
      <text>
        <t xml:space="preserve">SD-111566 task wasn't completed, it's still in testing. main reason - kube issue.
	-Vlad Shusterman</t>
      </text>
    </comment>
    <comment authorId="0" ref="P9">
      <text>
        <t xml:space="preserve">recalculate emerged tasks
	-Vlad Shusterman</t>
      </text>
    </comment>
    <comment authorId="0" ref="O22">
      <text>
        <t xml:space="preserve">with QAs tasks
	-Vlad Shusterman</t>
      </text>
    </comment>
    <comment authorId="0" ref="N22">
      <text>
        <t xml:space="preserve">with QA tasks
	-Vlad Shusterman</t>
      </text>
    </comment>
    <comment authorId="0" ref="M22">
      <text>
        <t xml:space="preserve">QA tasks excluded
	-Vlad Shusterman
with qa tasks - 330
	-Vlad Shusterman</t>
      </text>
    </comment>
    <comment authorId="0" ref="M20">
      <text>
        <t xml:space="preserve">awaiting release - 15
ready for release - 8
	-Vlad Shusterman
UPD: ar - 23
	-Vlad Shusterman</t>
      </text>
    </comment>
  </commentList>
</comments>
</file>

<file path=xl/comments19.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1">
      <text>
        <t xml:space="preserve">it is binary component like  but to convert it to percentage: if it's 1, enter 100% if not 0%</t>
      </text>
    </comment>
    <comment authorId="0" ref="A39">
      <text>
        <t xml:space="preserve">it is binary component like sprint goal but to convert it to percentage: if half of the team participated in sprint goal tasks, enter 100% if not 0%</t>
      </text>
    </comment>
  </commentList>
</comments>
</file>

<file path=xl/comments20.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7">
      <text>
        <t xml:space="preserve">commit 33 effort
total 55 effort into sprint
done 33 effort</t>
      </text>
    </comment>
    <comment authorId="0" ref="I17">
      <text>
        <t xml:space="preserve">commit 52
done 47</t>
      </text>
    </comment>
    <comment authorId="0" ref="J17">
      <text>
        <t xml:space="preserve">commit  110
done 110</t>
      </text>
    </comment>
    <comment authorId="0" ref="K17">
      <text>
        <t xml:space="preserve">commit 65
done 65</t>
      </text>
    </comment>
    <comment authorId="0" ref="L17">
      <text>
        <t xml:space="preserve">committed 75
done 75</t>
      </text>
    </comment>
    <comment authorId="0" ref="M17">
      <text>
        <t xml:space="preserve">commit 47
done 38
</t>
      </text>
    </comment>
    <comment authorId="0" ref="N17">
      <text>
        <t xml:space="preserve">commited 38
done 38</t>
      </text>
    </comment>
    <comment authorId="0" ref="O17">
      <text>
        <t xml:space="preserve">committed 109
done 88
rate 80%</t>
      </text>
    </comment>
    <comment authorId="0" ref="P17">
      <text>
        <t xml:space="preserve">committed 70
done 60
rate %80</t>
      </text>
    </comment>
    <comment authorId="0" ref="Q17">
      <text>
        <t xml:space="preserve">committed 81
done 50
rate %60</t>
      </text>
    </comment>
    <comment authorId="0" ref="S17">
      <text>
        <t xml:space="preserve">commited 34
done 21
rate 61%</t>
      </text>
    </comment>
    <comment authorId="0" ref="T17">
      <text>
        <t xml:space="preserve">committed 34
</t>
      </text>
    </comment>
    <comment authorId="0" ref="U17">
      <text>
        <t xml:space="preserve">committed 75
done 75</t>
      </text>
    </comment>
    <comment authorId="0" ref="J19">
      <text>
        <t xml:space="preserve">8 effort removed from sprint</t>
      </text>
    </comment>
    <comment authorId="0" ref="K19">
      <text>
        <t xml:space="preserve">1 effort reduced from a task</t>
      </text>
    </comment>
    <comment authorId="0" ref="J30">
      <text>
        <t xml:space="preserve">deployment goal is changed to AR</t>
      </text>
    </comment>
    <comment authorId="0" ref="K30">
      <text>
        <t xml:space="preserve">canvas task was failed</t>
      </text>
    </comment>
    <comment authorId="0" ref="P30">
      <text>
        <t xml:space="preserve">Deployment of template lib is failed
</t>
      </text>
    </comment>
    <comment authorId="0" ref="A31">
      <text>
        <t xml:space="preserve">it is binary component like  but to convert it to percentage: if it's 1, enter 100% if not 0%</t>
      </text>
    </comment>
    <comment authorId="0" ref="A39">
      <text>
        <t xml:space="preserve">it is binary component like sprint goal but to convert it to percentage: if half of the team participated in sprint goal tasks, enter 100% if not 0%</t>
      </text>
    </comment>
  </commentList>
</comments>
</file>

<file path=xl/comments2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5">
      <text>
        <t xml:space="preserve">it is binary component like  but to convert it to percentage: if it's 1, enter 100% if not 0%</t>
      </text>
    </comment>
    <comment authorId="0" ref="A36">
      <text>
        <t xml:space="preserve">it is binary component like sprint goal but to convert it to percentage: if half of the team participated in sprint goal tasks, enter 100% if not 0%</t>
      </text>
    </comment>
    <comment authorId="0" ref="U62">
      <text>
        <t xml:space="preserve">güzel sprintti ellere sağlık
	-Ceren Guzelgun</t>
      </text>
    </comment>
    <comment authorId="0" ref="U67">
      <text>
        <t xml:space="preserve">güzel, sakin bir sprint
	-Ceren Guzelgun</t>
      </text>
    </comment>
    <comment authorId="0" ref="U77">
      <text>
        <t xml:space="preserve">pair ve insight tarafına girmek güzeldi
	-Ceren Guzelgun</t>
      </text>
    </comment>
    <comment authorId="0" ref="U75">
      <text>
        <t xml:space="preserve">task kaldı, ama benim için öğretici bir sprintti
	-Ceren Guzelgun</t>
      </text>
    </comment>
    <comment authorId="0" ref="U74">
      <text>
        <t xml:space="preserve">pr'ımı açamadım, tasklar ilerleyemedi
	-Ceren Guzelgun</t>
      </text>
    </comment>
    <comment authorId="0" ref="U73">
      <text>
        <t xml:space="preserve">fazla yoğun bir sprint değildi ellere sağlık
	-Ceren Guzelgun</t>
      </text>
    </comment>
    <comment authorId="0" ref="U71">
      <text>
        <t xml:space="preserve">sprint genel olarak iyiydi, accuracyden dolayı.
	-Ceren Guzelgun</t>
      </text>
    </comment>
    <comment authorId="0" ref="U72">
      <text>
        <t xml:space="preserve">iletişimimiz iyiydi, güzel yürüdü
	-Ceren Guzelgun</t>
      </text>
    </comment>
    <comment authorId="0" ref="U69">
      <text>
        <t xml:space="preserve">öğretici bir sprintti
	-Ceren Guzelgun</t>
      </text>
    </comment>
    <comment authorId="0" ref="T62">
      <text>
        <t xml:space="preserve">burçin: 1 çıktılar iyiydi, elinize sağlık &lt;3
cansu: 1 partner issues + actionable &lt;3
	-Ceren Guzelgun</t>
      </text>
    </comment>
    <comment authorId="0" ref="T64">
      <text>
        <t xml:space="preserve">deniz: kr monitoring için teşekkürler
	-Ceren Guzelgun</t>
      </text>
    </comment>
    <comment authorId="0" ref="T77">
      <text>
        <t xml:space="preserve">goaller çıktı ama bahsedilen sıkıntılar. yorucu sprintti
	-Ceren Guzelgun</t>
      </text>
    </comment>
    <comment authorId="0" ref="T75">
      <text>
        <t xml:space="preserve">çıkan problemler + hotfixler
	-Ceren Guzelgun</t>
      </text>
    </comment>
    <comment authorId="0" ref="T74">
      <text>
        <t xml:space="preserve">son güne yığılma +1
	-Ceren Guzelgun</t>
      </text>
    </comment>
    <comment authorId="0" ref="T73">
      <text>
        <t xml:space="preserve">son günlerde çok task yığıldı
	-Ceren Guzelgun</t>
      </text>
    </comment>
    <comment authorId="0" ref="T72">
      <text>
        <t xml:space="preserve">task ilerlemedi
	-Ceren Guzelgun</t>
      </text>
    </comment>
    <comment authorId="0" ref="T71">
      <text>
        <t xml:space="preserve">operasyonel eksiklikler (test-preprod)
	-Ceren Guzelgun</t>
      </text>
    </comment>
    <comment authorId="0" ref="T67">
      <text>
        <t xml:space="preserve">kişisel commitleri daha dikkatli verebilirim + yoğun sprintti
	-Ceren Guzelgun</t>
      </text>
    </comment>
    <comment authorId="0" ref="S75">
      <text>
        <t xml:space="preserve">dümdüz sprintti
	-Ceren Guzelgun</t>
      </text>
    </comment>
    <comment authorId="0" ref="S72">
      <text>
        <t xml:space="preserve">öyle +1
	-Ceren Guzelgun</t>
      </text>
    </comment>
    <comment authorId="0" ref="S67">
      <text>
        <t xml:space="preserve">öyle :)
	-Ceren Guzelgun</t>
      </text>
    </comment>
    <comment authorId="0" ref="R77">
      <text>
        <t xml:space="preserve">Tasklar yorucu idi, daha güzel sprintler olduğundan 1'e yazık olmasın istedi
	-Alper Demirel</t>
      </text>
    </comment>
    <comment authorId="0" ref="R74">
      <text>
        <t xml:space="preserve">Otomasyon testlerinde eksik kaldık
	-Alper Demirel</t>
      </text>
    </comment>
    <comment authorId="0" ref="R73">
      <text>
        <t xml:space="preserve">Çok QA eforu yoktu
	-Alper Demirel</t>
      </text>
    </comment>
    <comment authorId="0" ref="R72">
      <text>
        <t xml:space="preserve">Başı ile sonu planlanandan biraz farklı bir sprint, sonunda bir şeyler çıktı
	-Alper Demirel</t>
      </text>
    </comment>
    <comment authorId="0" ref="R69">
      <text>
        <t xml:space="preserve">Sprint dışı sebebi ile
	-Alper Demirel</t>
      </text>
    </comment>
    <comment authorId="0" ref="R68">
      <text>
        <t xml:space="preserve">Beklenmedik bir sprint
	-Alper Demirel</t>
      </text>
    </comment>
    <comment authorId="0" ref="Q75">
      <text>
        <t xml:space="preserve">yoğundu ama güzeldi
	-Burcin Dikbasan</t>
      </text>
    </comment>
    <comment authorId="0" ref="Q69">
      <text>
        <t xml:space="preserve">1 demise takımdan linç yiyeceği için 1 dedi
	-Burcin Dikbasan</t>
      </text>
    </comment>
    <comment authorId="0" ref="P77">
      <text>
        <t xml:space="preserve">herkese +1
	-Ceren Guzelgun</t>
      </text>
    </comment>
    <comment authorId="0" ref="P75">
      <text>
        <t xml:space="preserve">yorumlara katılıyorum
	-Ceren Guzelgun</t>
      </text>
    </comment>
    <comment authorId="0" ref="P74">
      <text>
        <t xml:space="preserve">yorucu ama dolu sprintti. emre + 1
	-Ceren Guzelgun</t>
      </text>
    </comment>
    <comment authorId="0" ref="P73">
      <text>
        <t xml:space="preserve">iyi sprintti, ama testler son günlere fazla yığıldı
	-Ceren Guzelgun</t>
      </text>
    </comment>
    <comment authorId="0" ref="P72">
      <text>
        <t xml:space="preserve">yoğun ve iyi bir sprintti
	-Ceren Guzelgun</t>
      </text>
    </comment>
    <comment authorId="0" ref="P71">
      <text>
        <t xml:space="preserve">yoğun bir sprintti, bekliyorduk da. ona rağmen iyi hallettik
	-Ceren Guzelgun</t>
      </text>
    </comment>
    <comment authorId="0" ref="P69">
      <text>
        <t xml:space="preserve">alper +1
	-Ceren Guzelgun</t>
      </text>
    </comment>
    <comment authorId="0" ref="P68">
      <text>
        <t xml:space="preserve">alper +1
	-Ceren Guzelgun</t>
      </text>
    </comment>
    <comment authorId="0" ref="P67">
      <text>
        <t xml:space="preserve">dolu bir sprintti, hep birlikte başardık
	-Ceren Guzelgun</t>
      </text>
    </comment>
    <comment authorId="0" ref="O78">
      <text>
        <t xml:space="preserve">Özetle, yoğun, öğretici ve güzel bir sprintti
	-Alper Demirel</t>
      </text>
    </comment>
    <comment authorId="0" ref="N62">
      <text>
        <t xml:space="preserve">Servis olmadığı için task'lara uzak hissettim
	-Burcin Dikbasan</t>
      </text>
    </comment>
    <comment authorId="0" ref="N75">
      <text>
        <t xml:space="preserve">çıktılar güzeldi ama yorucuydu
	-Burcin Dikbasan</t>
      </text>
    </comment>
    <comment authorId="0" ref="N74">
      <text>
        <t xml:space="preserve">QA süreçleri güzel ilerledi
	-Burcin Dikbasan</t>
      </text>
    </comment>
    <comment authorId="0" ref="N71">
      <text>
        <t xml:space="preserve">yoğun ve frustrated bir sprintti ama daha iyi olabilirdi
	-Burcin Dikbasan</t>
      </text>
    </comment>
    <comment authorId="0" ref="N68">
      <text>
        <t xml:space="preserve">çıktıları iyiydi ama zor bir sprint oldu
	-Burcin Dikbasan</t>
      </text>
    </comment>
    <comment authorId="0" ref="N67">
      <text>
        <t xml:space="preserve">Sprinte kendini veremedi
	-Burcin Dikbasan</t>
      </text>
    </comment>
    <comment authorId="0" ref="M62">
      <text>
        <t xml:space="preserve">hepinize katılmaca
	-Ceren Guzelgun</t>
      </text>
    </comment>
    <comment authorId="0" ref="M68">
      <text>
        <t xml:space="preserve">alper +1
	-Ceren Guzelgun</t>
      </text>
    </comment>
    <comment authorId="0" ref="M67">
      <text>
        <t xml:space="preserve">kısa ama faydalı sprintti
	-Ceren Guzelgun</t>
      </text>
    </comment>
    <comment authorId="0" ref="L64">
      <text>
        <t xml:space="preserve">teşekkürler ediyoruz &lt;3
	-Ceren Guzelgun</t>
      </text>
    </comment>
    <comment authorId="0" ref="L62">
      <text>
        <t xml:space="preserve">güzel sprintti, çıktılar
	-Ceren Guzelgun</t>
      </text>
    </comment>
    <comment authorId="0" ref="L77">
      <text>
        <t xml:space="preserve">güzel bir sprintti
	-Ceren Guzelgun</t>
      </text>
    </comment>
    <comment authorId="0" ref="L75">
      <text>
        <t xml:space="preserve">tüm tasklar çıktı güzel sprintti
	-Ceren Guzelgun</t>
      </text>
    </comment>
    <comment authorId="0" ref="L74">
      <text>
        <t xml:space="preserve">tasklar iyi dağıldı, yüküm azaldı &lt;3
	-Ceren Guzelgun</t>
      </text>
    </comment>
    <comment authorId="0" ref="L73">
      <text>
        <t xml:space="preserve">daha aktif rol aldığım bir sprintti
	-Ceren Guzelgun</t>
      </text>
    </comment>
    <comment authorId="0" ref="L72">
      <text>
        <t xml:space="preserve">yoğun ve güzel bi sprintti
	-Ceren Guzelgun</t>
      </text>
    </comment>
    <comment authorId="0" ref="L71">
      <text>
        <t xml:space="preserve">task kalmadı, iyi çıktılı bir sprintti
	-Ceren Guzelgun</t>
      </text>
    </comment>
    <comment authorId="0" ref="L69">
      <text>
        <t xml:space="preserve">güzel sprintti
	-Ceren Guzelgun</t>
      </text>
    </comment>
    <comment authorId="0" ref="L68">
      <text>
        <t xml:space="preserve">alper +1
	-Ceren Guzelgun</t>
      </text>
    </comment>
    <comment authorId="0" ref="L67">
      <text>
        <t xml:space="preserve">reviewler son güne kaldı, sprint sonu yoğundu
	-Ceren Guzelgun</t>
      </text>
    </comment>
    <comment authorId="0" ref="K62">
      <text>
        <t xml:space="preserve">Burçin: 1 yoğun bi sprintti, bol context switchli
Cansu: 1 Same Same
	-Ceren Guzelgun</t>
      </text>
    </comment>
    <comment authorId="0" ref="K64">
      <text>
        <t xml:space="preserve">şeyma: burçin'e teşekkürlerimi iletiyorum
ezgi: kalpli 1ler
	-Ceren Guzelgun</t>
      </text>
    </comment>
    <comment authorId="0" ref="K75">
      <text>
        <t xml:space="preserve">bi kaç sprinttir task kalıyor
	-Ceren Guzelgun</t>
      </text>
    </comment>
    <comment authorId="0" ref="K74">
      <text>
        <t xml:space="preserve">yorucu bi sprintti ama güzeldi
	-Ceren Guzelgun</t>
      </text>
    </comment>
    <comment authorId="0" ref="K72">
      <text>
        <t xml:space="preserve">yoğun ama faydalı bi sprintti
	-Ceren Guzelgun</t>
      </text>
    </comment>
    <comment authorId="0" ref="K71">
      <text>
        <t xml:space="preserve">0-1 arasındaydım, okr belirsizlikleri sebepli
	-Ceren Guzelgun</t>
      </text>
    </comment>
    <comment authorId="0" ref="K69">
      <text>
        <t xml:space="preserve">farklı tasklar almak iyiydi
	-Ceren Guzelgun</t>
      </text>
    </comment>
    <comment authorId="0" ref="K67">
      <text>
        <t xml:space="preserve">güzel bi sprintti
	-Ceren Guzelgun</t>
      </text>
    </comment>
    <comment authorId="0" ref="J75">
      <text>
        <t xml:space="preserve">önceki sprintte kalan task sıkıntılı oldu
	-Ceren Guzelgun</t>
      </text>
    </comment>
    <comment authorId="0" ref="I64">
      <text>
        <t xml:space="preserve">promptların hazır olması güzeldi, qa tarafında çabuk aksiyon alındı, teşekkürler ediyoruz
	-Ceren Guzelgun</t>
      </text>
    </comment>
    <comment authorId="0" ref="I62">
      <text>
        <t xml:space="preserve">sprint biraz sona sıkıştı
	-Ceren Guzelgun
1'e daha yakınım
	-Ceren Guzelgun</t>
      </text>
    </comment>
    <comment authorId="0" ref="I77">
      <text>
        <t xml:space="preserve">kişisel iyi sprintti, goal sıkıntı oldu. fail olan taskla ilgili elimden geleni yaptım
	-Ceren Guzelgun</t>
      </text>
    </comment>
    <comment authorId="0" ref="I76">
      <text>
        <t xml:space="preserve">aynı sebepler
	-Ceren Guzelgun</t>
      </text>
    </comment>
    <comment authorId="0" ref="I75">
      <text>
        <t xml:space="preserve">goal fail, sprint de iyi değildi
	-Ceren Guzelgun</t>
      </text>
    </comment>
    <comment authorId="0" ref="I74">
      <text>
        <t xml:space="preserve">goal + sıkıntılı taskım
	-Ceren Guzelgun</t>
      </text>
    </comment>
    <comment authorId="0" ref="I72">
      <text>
        <t xml:space="preserve">güzel pair olduk, çıktılar iyi bi sprintti. goal'ün fail olmasına üzüldüm
	-Ceren Guzelgun</t>
      </text>
    </comment>
    <comment authorId="0" ref="I71">
      <text>
        <t xml:space="preserve">çıktı olarak iyiydi ama goal fail
	-Ceren Guzelgun</t>
      </text>
    </comment>
    <comment authorId="0" ref="I69">
      <text>
        <t xml:space="preserve">kişisel olarak iyiydi, ama goal fail
	-Ceren Guzelgun</t>
      </text>
    </comment>
    <comment authorId="0" ref="I68">
      <text>
        <t xml:space="preserve">sprint goal
	-Ceren Guzelgun</t>
      </text>
    </comment>
    <comment authorId="0" ref="I67">
      <text>
        <t xml:space="preserve">benim açımdan güzel sprintti, ama aksiyon bakımından zayıf kaldım. (sprint goal)
	-Ceren Guzelgun</t>
      </text>
    </comment>
    <comment authorId="0" ref="G64">
      <text>
        <t xml:space="preserve">Deniz: Toplu KR grooming için ön hazırlık iyi olurdu
	-Ceren Guzelgun</t>
      </text>
    </comment>
    <comment authorId="0" ref="G62">
      <text>
        <t xml:space="preserve">Burçin: 1 güzeldi
Cansu: 1
	-Ceren Guzelgun</t>
      </text>
    </comment>
    <comment authorId="0" ref="G77">
      <text>
        <t xml:space="preserve">dörtlü pair güzeldi
	-Ceren Guzelgun</t>
      </text>
    </comment>
    <comment authorId="0" ref="G76">
      <text>
        <t xml:space="preserve">sprintte aktif olduğumu düşünmüyorum
	-Ceren Guzelgun</t>
      </text>
    </comment>
    <comment authorId="0" ref="G75">
      <text>
        <t xml:space="preserve">öğretici bir sprintti
	-Ceren Guzelgun</t>
      </text>
    </comment>
    <comment authorId="0" ref="G72">
      <text>
        <t xml:space="preserve">öğretici ve güzel sprintti
	-Ceren Guzelgun</t>
      </text>
    </comment>
    <comment authorId="0" ref="G71">
      <text>
        <t xml:space="preserve">herkesin eline sağlık
	-Ceren Guzelgun</t>
      </text>
    </comment>
    <comment authorId="0" ref="G69">
      <text>
        <t xml:space="preserve">benim için olaylıydı ama güzeldi :D
	-Ceren Guzelgun</t>
      </text>
    </comment>
    <comment authorId="0" ref="G68">
      <text>
        <t xml:space="preserve">olaysız sprintti, okeiz
	-Ceren Guzelgun</t>
      </text>
    </comment>
    <comment authorId="0" ref="G67">
      <text>
        <t xml:space="preserve">İlk prototype taskımı aldım, güzeldi
	-Ceren Guzelgun</t>
      </text>
    </comment>
    <comment authorId="0" ref="F62">
      <text>
        <t xml:space="preserve">Burçin: 1 biraz daha detaya girdim
Cansu: 1 Burçin'in olması müko
	-Ceren Guzelgun</t>
      </text>
    </comment>
    <comment authorId="0" ref="F77">
      <text>
        <t xml:space="preserve">herkesin eline sağlık
	-Ceren Guzelgun</t>
      </text>
    </comment>
    <comment authorId="0" ref="F76">
      <text>
        <t xml:space="preserve">güzel sprintti genel olarak
	-Ceren Guzelgun</t>
      </text>
    </comment>
    <comment authorId="0" ref="F75">
      <text>
        <t xml:space="preserve">yorucuydu ama tasklar çıktı
	-Ceren Guzelgun</t>
      </text>
    </comment>
    <comment authorId="0" ref="F72">
      <text>
        <t xml:space="preserve">güzel sprint
	-Ceren Guzelgun</t>
      </text>
    </comment>
    <comment authorId="0" ref="F71">
      <text>
        <t xml:space="preserve">sprint goal'ü önceden planlasak iyi olurdu, ama güzel sprintti
	-Ceren Guzelgun</t>
      </text>
    </comment>
    <comment authorId="0" ref="F68">
      <text>
        <t xml:space="preserve">mük
	-Ceren Guzelgun</t>
      </text>
    </comment>
    <comment authorId="0" ref="F67">
      <text>
        <t xml:space="preserve">yoğun ve öğretici bir sprintti
	-Ceren Guzelgun</t>
      </text>
    </comment>
    <comment authorId="0" ref="E64">
      <text>
        <t xml:space="preserve">burçin hoşgeldi &lt;3
	-Ceren Guzelgun</t>
      </text>
    </comment>
    <comment authorId="0" ref="E62">
      <text>
        <t xml:space="preserve">Burçin: 1 güzel karşılandım &lt;3
	-Ceren Guzelgun</t>
      </text>
    </comment>
    <comment authorId="0" ref="E68">
      <text>
        <t xml:space="preserve">kişisel sprint
	-Ceren Guzelgun</t>
      </text>
    </comment>
    <comment authorId="0" ref="E74">
      <text>
        <t xml:space="preserve">taskım ilerlemediği için 0
	-Ceren Guzelgun</t>
      </text>
    </comment>
    <comment authorId="0" ref="E77">
      <text>
        <t xml:space="preserve">murat +1
	-Ceren Guzelgun</t>
      </text>
    </comment>
    <comment authorId="0" ref="E76">
      <text>
        <t xml:space="preserve">güzel sprint oldu, testler ilerledi
	-Ceren Guzelgun</t>
      </text>
    </comment>
    <comment authorId="0" ref="E75">
      <text>
        <t xml:space="preserve">yorucuydu ama güzeldi
	-Ceren Guzelgun</t>
      </text>
    </comment>
    <comment authorId="0" ref="E67">
      <text>
        <t xml:space="preserve">efso sprintti, çok şey öğrendim
	-Ceren Guzelgun</t>
      </text>
    </comment>
    <comment authorId="0" ref="D64">
      <text>
        <t xml:space="preserve">güneş yerinde her şey yolunda
	-Ceren Guzelgun</t>
      </text>
    </comment>
    <comment authorId="0" ref="D77">
      <text>
        <t xml:space="preserve">önemli feature'lar çıkardık, herkesin eline sağlık
	-Ceren Guzelgun</t>
      </text>
    </comment>
    <comment authorId="0" ref="D75">
      <text>
        <t xml:space="preserve">etkisi olan tasklar yapmak güzel
	-Ceren Guzelgun</t>
      </text>
    </comment>
    <comment authorId="0" ref="D74">
      <text>
        <t xml:space="preserve">olaysız bi sprintti, ekip olarak iyiyiz &lt;3
	-Ceren Guzelgun</t>
      </text>
    </comment>
    <comment authorId="0" ref="D71">
      <text>
        <t xml:space="preserve">slay bi sprintti ;))
	-Ceren Guzelgun</t>
      </text>
    </comment>
    <comment authorId="0" ref="D69">
      <text>
        <t xml:space="preserve">ceren +1
	-Ceren Guzelgun</t>
      </text>
    </comment>
    <comment authorId="0" ref="D68">
      <text>
        <t xml:space="preserve">kişisel 0 takıma 1
	-Ceren Guzelgun</t>
      </text>
    </comment>
    <comment authorId="0" ref="D67">
      <text>
        <t xml:space="preserve">hızlı bi sprint oldu, ama öğreticiydi
	-Ceren Guzelgun</t>
      </text>
    </comment>
    <comment authorId="0" ref="C71">
      <text>
        <t xml:space="preserve">Sprint sonu sıkıştı ancak goal çıktı, roadmap'e uygun gidiyoruz, çıktılar güzel.
	-Deniz Parmaksız</t>
      </text>
    </comment>
    <comment authorId="0" ref="C77">
      <text>
        <t xml:space="preserve">Yetişti ama sıkıştıve yetişsin diye stres yaptım
	-Deniz Parmaksız</t>
      </text>
    </comment>
    <comment authorId="0" ref="C76">
      <text>
        <t xml:space="preserve">Sprint güzeldi ama takıma katkı sağlayamadım gibi
	-Deniz Parmaksız</t>
      </text>
    </comment>
    <comment authorId="0" ref="C69">
      <text>
        <t xml:space="preserve">Çok şey öğrendim ama nötrüm
	-Deniz Parmaksız</t>
      </text>
    </comment>
    <comment authorId="0" ref="C67">
      <text>
        <t xml:space="preserve">İlk sprintimdi güzeldi her şey
	-Deniz Parmaksız</t>
      </text>
    </comment>
    <comment authorId="0" ref="C74">
      <text>
        <t xml:space="preserve">Sprint sonu test sıkışlığı
	-Deniz Parmaksız</t>
      </text>
    </comment>
    <comment authorId="0" ref="C75">
      <text>
        <t xml:space="preserve">Taskın fail olması, yoksa rahat 1di
	-Deniz Parmaksız</t>
      </text>
    </comment>
    <comment authorId="0" ref="B63">
      <text>
        <t xml:space="preserve">Ceren: 1 (güzel sprintti)
Çağla: 1 (aynen)
Ezgi: 1
Murat: 1 (security taskları da iyiydi)
Ozan: 1 
Şeyma: 1
	-Ceren Guzelgun</t>
      </text>
    </comment>
  </commentList>
</comments>
</file>

<file path=xl/comments2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 authorId="0" ref="S63">
      <text>
        <t xml:space="preserve">Esra:0
Mert:0
Olcay:-1 iletişim eksikliği
Özkan: -1 
Talha:0
Buse:1
Merve:0 tnx sibel
Barış:-
Ulaş:0
Vesile:0
	-Orhun Turan</t>
      </text>
    </comment>
    <comment authorId="0" ref="S62">
      <text>
        <t xml:space="preserve">Esra: 0 
Mert: -1 
Olcay: -1  event conv hikayesini görebilirdik. overall hikayesinde iletişim sorunu
Özkan: -1 concernleri dile getirdim ciddiye alınmadı
Talha: 0
Buse: 1 
Merve: -1 saçma sapan şeylere vakit
Barış: -
Ulaş: -1 event conv fuckup
Vesile: -1 mutlu değilim
	-Orhun Turan</t>
      </text>
    </comment>
    <comment authorId="0" ref="S61">
      <text>
        <t xml:space="preserve">Sibel: 0
Özge: 0
	-Orhun Turan</t>
      </text>
    </comment>
    <comment authorId="0" ref="R63">
      <text>
        <t xml:space="preserve">Esra: 0
Mert: -
Olcay: 1
Özkan: 1
Talha: 1
Buse: 1
Merve: 1
Barış:-
Ulaş: 1
Vesile: 1
	-Orhun Turan</t>
      </text>
    </comment>
    <comment authorId="0" ref="R62">
      <text>
        <t xml:space="preserve">Esra: -1 
Mert: -
Olcay: 1
Özkan: 1
Talha: 0
Buse: 1
Merve: 0
Barış: -
Ulaş: 1
Vesile:1
	-Orhun Turan</t>
      </text>
    </comment>
    <comment authorId="0" ref="R61">
      <text>
        <t xml:space="preserve">Sibel: 1
Özge:1
	-Orhun Turan</t>
      </text>
    </comment>
    <comment authorId="0" ref="Q63">
      <text>
        <t xml:space="preserve">Esra: -1
Mert: -1
Olcay: 1
Özkan: -1
Talha: 0
Buse: 0
Merve: 1
Barış: 0
Ulaş: 0
Vesile: 0
	-Ömer Faruk Olcay</t>
      </text>
    </comment>
    <comment authorId="0" ref="Q62">
      <text>
        <t xml:space="preserve">Esra: 1
Mert: -1
Olcay: 0
Özkan: -1
Talha: 0
Buse: 0
Merve: 1
Barış: 0
Ulaş: 0
Vesile: 0
	-Ömer Faruk Olcay</t>
      </text>
    </comment>
    <comment authorId="0" ref="Q61">
      <text>
        <t xml:space="preserve">Sibel: 0
Özge: 0
	-Ömer Faruk Olcay</t>
      </text>
    </comment>
    <comment authorId="0" ref="P63">
      <text>
        <t xml:space="preserve">Esra: 1 (özge &lt;3)
Mert: -1 
Olcay: 1
İrem: -
Özkan: 0 
Talha: 0
Buse: 1 
Merve: 1
Barış: 1
Ulaş: 0
Vesile: 0
	-Sibel Yildirim</t>
      </text>
    </comment>
    <comment authorId="0" ref="P62">
      <text>
        <t xml:space="preserve">Esra: 0 
Mert: 0
Olcay: 1
İrem: -
Özkan: 0 
Talha: -1
Buse: 0
Merve: 1 
Barış: 0
Ulaş: 1
Vesile: 1
	-Sibel Yildirim</t>
      </text>
    </comment>
    <comment authorId="0" ref="P61">
      <text>
        <t xml:space="preserve">Sibel: 0
	-Sibel Yildirim</t>
      </text>
    </comment>
    <comment authorId="0" ref="O63">
      <text>
        <t xml:space="preserve">Esra: 1
Mert:-
Olcay:0
İrem:1
Özkan:0
Talha:-
Buse:1
Merve:1
Barış:-
Ulaş:1
Vesile:1
	-Orhun Turan</t>
      </text>
    </comment>
    <comment authorId="0" ref="O62">
      <text>
        <t xml:space="preserve">Esra: 0 
Mert: -
Olcay: 1
İrem: 1
Özkan: 0
Talha: -
Buse: 0
Merve: 0
Barış: -
Ulaş: 0
Vesile: 0
	-Orhun Turan</t>
      </text>
    </comment>
    <comment authorId="0" ref="O61">
      <text>
        <t xml:space="preserve">Sibel:1
Özge:1
	-Orhun Turan</t>
      </text>
    </comment>
    <comment authorId="0" ref="N31">
      <text>
        <t xml:space="preserve">excluded design efforts
	-Orhun Turan</t>
      </text>
    </comment>
    <comment authorId="0" ref="M31">
      <text>
        <t xml:space="preserve">excluded design efforts
	-Orhun Turan</t>
      </text>
    </comment>
    <comment authorId="0" ref="N63">
      <text>
        <t xml:space="preserve">Esra:0
Mert:-
Olcay:1
İrem:-
Özkan:0
Talha:0
Buse:-
Merve:1
Barış: 1
Ulaş:1
Vesile:1
	-Orhun Turan</t>
      </text>
    </comment>
    <comment authorId="0" ref="N62">
      <text>
        <t xml:space="preserve">Esra: 0 genel iletişimsizlik sezdim 2.hafta
Mert: -
Olcay: 1 
İrem: -
Özkan:  1
Talha: -1 sr taskları fail, yardımlaşma azdı
Buse: -
Merve: -1 odak bölündü,value yakalayamadık
Barış: 0 
Ulaş: 0 
Vesile: -1 qa ekibi mutsuz
	-Orhun Turan</t>
      </text>
    </comment>
    <comment authorId="0" ref="N61">
      <text>
        <t xml:space="preserve">Sibel: 1
	-Orhun Turan</t>
      </text>
    </comment>
    <comment authorId="0" ref="M61">
      <text>
        <t xml:space="preserve">Sibel:1
	-Orhun Turan</t>
      </text>
    </comment>
    <comment authorId="0" ref="M63">
      <text>
        <t xml:space="preserve">Esra: 0
Mert:1
Olcay:1
İrem:1
Özkan:-1
Talha:1
Buse:1
Merve:1
Barış:1
Ulaş:1
Vesile:1
	-Orhun Turan</t>
      </text>
    </comment>
    <comment authorId="0" ref="M62">
      <text>
        <t xml:space="preserve">Esra: 0 
Mert: 0 
Olcay: 1
İrem: 0
Özkan: -1  3 gün çalıştım çok beklenti vardı
Talha: 0 
Buse: 1
Merve: 1
Barış: 1
Ulaş: 1
Vesile:1
	-Orhun Turan</t>
      </text>
    </comment>
    <comment authorId="0" ref="M39">
      <text>
        <t xml:space="preserve">leave 4 days
	-Ozkan Mese</t>
      </text>
    </comment>
    <comment authorId="0" ref="L63">
      <text>
        <t xml:space="preserve">Esra: 0
Mert: 1
Olcay:1
İrem:0
Özkan:1
Talha:1
Buse:1
Merve:1
Barış:1
Ulaş:1
Vesile:1
	-Orhun Turan</t>
      </text>
    </comment>
    <comment authorId="0" ref="L62">
      <text>
        <t xml:space="preserve">Esra: 0 smart reco sıkıntı
Mert: 1 sibel alıştı 
Olcay: 1
İrem: 0 
Özkan: 1 takıma teşekkür
Talha: 0 
Buse: 1 
Merve: 0 
Barış: 1
Ulaş: 1 
Vesile: 0
	-Orhun Turan</t>
      </text>
    </comment>
    <comment authorId="0" ref="L61">
      <text>
        <t xml:space="preserve">Sibel:1 
Deniz:1
	-Orhun Turan</t>
      </text>
    </comment>
    <comment authorId="0" ref="J39">
      <text>
        <t xml:space="preserve">On leave - 3 Days
	-Ozkan Mese</t>
      </text>
    </comment>
    <comment authorId="0" ref="K61">
      <text>
        <t xml:space="preserve">Sibel:1
	-Orhun Turan</t>
      </text>
    </comment>
    <comment authorId="0" ref="K63">
      <text>
        <t xml:space="preserve">Esra: -1 sprint değişiyor bayrak kaldırdık takan olmadı
Mert: 1 güzel handle edildi
Olcay: -1 gol konuları sıkıntı
İrem: 0 
Özkan: 0 iletişim kopukluğumuz vardı
Talha:-1 gol konuları sıkıntılı
Buse: 
Merve: 1
Barış: 
Ulaş: 1 
Vesile:
	-Orhun Turan</t>
      </text>
    </comment>
    <comment authorId="0" ref="K62">
      <text>
        <t xml:space="preserve">Esra: -1 kişisel focus kaydı,ekip kopuk
Mert: 0 
Olcay: 1 mutluyum akıyo
İrem: 0 
Özkan: -1 başımıza gelmeyen kalmadı
Talha: -1 başımıza gelmeyen kalmadı
Buse: 
Merve: -1 stres içindeyim otomasyon sıkıntı
Barış: 
Ulaş: 1 
Vesile:
	-Orhun Turan</t>
      </text>
    </comment>
    <comment authorId="0" ref="K50">
      <text>
        <t xml:space="preserve">added 5
	-Orhun Turan</t>
      </text>
    </comment>
    <comment authorId="0" ref="K52">
      <text>
        <t xml:space="preserve">added 13
	-Orhun Turan
burası güncellenmiş brom sonradan senin haberin var mı
	-Ozkan Mese</t>
      </text>
    </comment>
    <comment authorId="0" ref="J10">
      <text>
        <t xml:space="preserve">scope changed cause of event conversion issue (before we worked on overall analytics)
	-Orhun Turan</t>
      </text>
    </comment>
    <comment authorId="0" ref="J63">
      <text>
        <t xml:space="preserve">Esra: 0
Mert: 1
Olcay: 0
İrem: 0
Özkan: 1 
Talha: 0
Buse: 0
Merve: 1
Barış: 0 
Ulaş:1
Vesile:-
	-Orhun Turan</t>
      </text>
    </comment>
    <comment authorId="0" ref="J62">
      <text>
        <t xml:space="preserve">Esra: 0 elinden geleni yaptı ama olmadı
Mert: -1 threadler uzadı process ler patladı
Olcay: -1 bazıları mutsuz 
İrem: 0 
Özkan: -1
Talha: -1
Buse: 0
Merve: -1 test ortamları baydı smokelar patladı
Barış: 0 
Ulaş: -1 gergin
Vesile:-
	-Orhun Turan</t>
      </text>
    </comment>
    <comment authorId="0" ref="I63">
      <text>
        <t xml:space="preserve">Esra: 1
Mert: 0
Olcay: 0
İrem: 1
Özkan: 1
Talha: 0
Buse: 1
Merve: 1 
Barış: 1
Ulaş:0
Vesile: 1
	-Orhun Turan</t>
      </text>
    </comment>
    <comment authorId="0" ref="I62">
      <text>
        <t xml:space="preserve">Esra: 0 iyiler kötüler birbirini yedi
Mert: -1 hala takım olmuyoruz
Olcay: 1 sorunlar çözüldü
İrem: 1 workshoplar güzeldi
Özkan: -1 fazla al ver oldu tasklarda
Talha: 0 success ler düzeldi
Buse: 1 workshoplar güzel 
Merve: 1 stressiz, verimliyim
Barış: 1 çözümler hızlı 
Ulaş: -1 geçen sprinti hazmedemedim
Vesile: 1 güzel güzel
	-Orhun Turan</t>
      </text>
    </comment>
    <comment authorId="0" ref="C39">
      <text>
        <t xml:space="preserve">death leave
	-Ozkan Mese</t>
      </text>
    </comment>
    <comment authorId="0" ref="H63">
      <text>
        <t xml:space="preserve">Esra: 1
Mert: 0
Olcay: -1 çıktı yok
İrem: 0 
Özkan: 1 
Talha: 1
Buse: 1 tam destek 
Merve: 1 enerji yüksek
Barış: 1000 elimden tuttu
Ulaş: 0 yorumum yok
Vesile: 1 aysunda 1
	-Orhun Turan</t>
      </text>
    </comment>
    <comment authorId="0" ref="H62">
      <text>
        <t xml:space="preserve">Esra: -1 takım olmaktan uzaklaştık
Mert: -1 
Olcay: 1 ekip çalışıyor
İrem: 0 iletişim problemleri oldu.
Özkan: -1 insanlar toksitti
Talha: -1 iletişimdeki gerginlik
Buse: 0 
Merve: -1 stresli tasklar knowhow eksikliği
Barış: 0 stresli
Ulaş: -1 yorum yok anlatıyor herŞEY
Vesile: -1 iletişim sorunları
	-Orhun Turan</t>
      </text>
    </comment>
    <comment authorId="0" ref="G63">
      <text>
        <t xml:space="preserve">Esra: 1 içimden geldi
Mert: 1 performansın için teşekkürler.
Olcay: 0 iyi align olmaya devam
İrem: !
Özkan: 0 yanlış anlaşılmalar oldu, nötr.
Talha:  0 her şey yolunda
Buse:  1  vermeyelim de taşa mı dönelim
Merve:  1  kaos içinde iyi survive etti 
Barış: 1  problemlere karşı sogukkanlı davrandı    
Ulaş: 1  aysunsuz deniz iyi dayandı     
Vesile:  1  ekstra bi gelişme yoktum
	-Ömer Faruk Olcay</t>
      </text>
    </comment>
    <comment authorId="0" ref="G62">
      <text>
        <t xml:space="preserve">Esra: -1 Goal dışında problemler yaşıyorum, kaotik olaylar çıktı.
Mert: -1 Odak olarak geride hissediyorum, Esra'nın comment
Olcay: 0  Esra'nın comment
İrem: !
Özkan: -1  Test env. vs problemleri çok geriye attı süre/efor olarak
Talha: -1  özkan+esra'nın comment, kube/otomasyon problemleri 
Buse: -1  planlamada öngörülemeyen problemler ortaya sprint sırasında çıktı.
Merve: 0  ekstra efor verilen işler çıktı, ekip içi huzursuzluk sezdim. 
Barış: -1  bu dönemde Valoremde mutsuz/restricted hissediyorum.
Ulaş:  1  survive ettik o yüzden
Vesile:  0  assign olan tasklarda smooth ilerleyemedim, ufak taska çok efor gitti.
	-Ömer Faruk Olcay</t>
      </text>
    </comment>
    <comment authorId="0" ref="G61">
      <text>
        <t xml:space="preserve">Deniz: 0 Nötr geçti +- lerde overall
	-Ömer Faruk Olcay</t>
      </text>
    </comment>
    <comment authorId="0" ref="G39">
      <text>
        <t xml:space="preserve">On Leave - 2 Working Days
	-Ömer Faruk Olcay</t>
      </text>
    </comment>
    <comment authorId="0" ref="E38">
      <text>
        <t xml:space="preserve">On Leave - 5 Working Days
	-Ömer Faruk Olcay</t>
      </text>
    </comment>
    <comment authorId="0" ref="F63">
      <text>
        <t xml:space="preserve">Esra: 0 Aklıma bir şey gelmiyor.
Mert: !
Olcay: 1 Motivasyon amaçlı verdim.
İrem: 0 Ekstra bi durum oluşmadı.
Özkan: 1 Verimliydi.
Talha: 1 Hızlı aksiyon.
Buse: 1 Tek başına iyi idare etti.
Merve: 1 Iki tane toplantıdan baya verim aldım.
Barış: 0 Ekstra bir durum yaşanmadı.
Ulaş: 1 Sevdiğim için verdim.
Vesile: 1 Onboarding destegi iyiydi.
	-Ömer Faruk Olcay</t>
      </text>
    </comment>
    <comment authorId="0" ref="F62">
      <text>
        <t xml:space="preserve">Esra: -1 Karışık bir sprint yaşadım, yoruldum.
Mert: !
Olcay: -1 Personal planning odaklı kalınması, General planning issues 
İrem: 1 MVP ye karar verilmesi  
Özkan: 0 Bi sıkıntım yoktu
Talha: -1 Test süreçlerinde dışardan sıkıntılar yaşandı. 
Buse: 1 Takımda olumsuz bir şey yoktu.
Merve: 1 onboarding süreci pozitif geçti. 
Barış: 0 ekstra bir şey yaşanmadı
Ulaş: 0 Yoğunduk, her şeyi yaptık ama olmadı
Vesile: 0 İyisiyle kötüsüyle nötr
	-Ömer Faruk Olcay</t>
      </text>
    </comment>
    <comment authorId="0" ref="F61">
      <text>
        <t xml:space="preserve">Deniz: -1 Genel çok blocker yaşadık, planningde de problem vardı. Sona kalan çok task var.
	-Ömer Faruk Olcay</t>
      </text>
    </comment>
    <comment authorId="0" ref="F37">
      <text>
        <t xml:space="preserve">On Leave - 4 Working Days
	-Ömer Faruk Olcay</t>
      </text>
    </comment>
    <comment authorId="0" ref="E63">
      <text>
        <t xml:space="preserve">Esra: 0 - Sahiplenme seviyesi sayesinde 0 a çıktı.
Mert: 0 - Nötr.
Olcay: 1 - Hızlı iletişim.
İrem: 1 - İyi iletişim.
Özkan: 0 - Nötr.
Talha: 2 - Ekstra iletişim.
Buse: 1 - Usage analytics.
Barış: 1 - Bilgiye olan açlık.
Ulaş: ! - yoktum
Vesile: 1 - Etkili Destek.
	-Ömer Faruk Olcay</t>
      </text>
    </comment>
    <comment authorId="0" ref="E62">
      <text>
        <t xml:space="preserve">Esra: -1 - birçok eksik noktalar gördüm. 
Mert: -1 - Yüzeysel task yapılıyor hissiyatı var. Goal tasklarından birinin reject olması
Olcay: -1 - Zincirleme kaza olduğunu düşünüyorum
İrem: 0 - Groomda bazı hatalar sezdiğim için bu puanı verdim.
Özkan: 0 - Nötr geçti genel olarak. 
Talha: -1 - GLA groomu ile alakalı problemlerden ötürü.
Buse: 0 - Usage analytics'in bitmesi iyi bi konu oldu, ama overall nötr.
Barış: 0 - Gergin geçti ama iyiydi.
Ulaş: ! - yoktum.
Vesile: -1 - Çok iyi geçmedi.
	-Ömer Faruk Olcay</t>
      </text>
    </comment>
    <comment authorId="0" ref="E61">
      <text>
        <t xml:space="preserve">Aysun: 1 - Goal vs sürecinde dayanışma gözlemledim iyiydi
Deniz: 1 - Aksiyonlar yerindeydi
	-Ömer Faruk Olcay</t>
      </text>
    </comment>
    <comment authorId="0" ref="D63">
      <text>
        <t xml:space="preserve">Esra: 1 - sprint içi takip iyiydi
Mert: 0 - ekstra bi +- durum oluşmadı
Olcay: 0 - ekstra bi +- durum oluşmadı
İrem: 0 - ekstra bi +- durum oluşmadı
Özkan: 1 - alignment etkiliydi
Talha: 1 - pozitif enerji yaydılar
Buse: 1 - özellikle denizle sıkı iletişim oldu
Barış: 1 - yardımcı olundu fazlaca
Ulaş: 1 - enerci
	-Ömer Faruk Olcay</t>
      </text>
    </comment>
    <comment authorId="0" ref="D62">
      <text>
        <t xml:space="preserve">Esra: 1 - teşekkürler
Mert: 1 - genel iyiydi
Olcay: 1 - iyiye giden şeyler var
İrem: 0 - nötr geçti
Özkan: 0 - bi tık uzatı
Talha: 1 - discorddaki vs. genel ekip içi communication vs. verimliydi
Buse: 1 - yani ekipçe keyifliydik
Barış: !
Ulaş: 1 - hızlıydık, bunun normalimiz olması lazım
	-Ömer Faruk Olcay</t>
      </text>
    </comment>
    <comment authorId="0" ref="D61">
      <text>
        <t xml:space="preserve">Aysun: 1 - Genel pozitifti
Deniz: 1 - Aysun ne dediyse imza
	-Ömer Faruk Olcay</t>
      </text>
    </comment>
    <comment authorId="0" ref="D39">
      <text>
        <t xml:space="preserve">On Leave - 4 Working Days
	-Ömer Faruk Olcay</t>
      </text>
    </comment>
    <comment authorId="0" ref="C63">
      <text>
        <t xml:space="preserve">Esra: 1 - Deniz'in ownershipliği iyiydi
Mert: 0 - Yorumsuzum
Olcay: 1 - Alignment hızlıydı
İrem: 1 - E-nabız destekleri
Özkan: ! - Ben AFK
Talha: 1 - Fast response
Buse: 1 - Yakın çalışma ortamı
Barış: 1 - Aysun'un Guild hırsı ve Deniz'in basit anlatımları
Ulaş: 1 - Yorumsuzum
	-Ömer Faruk Olcay</t>
      </text>
    </comment>
    <comment authorId="0" ref="C62">
      <text>
        <t xml:space="preserve">Esra: 1 - O bug taskı olmadı
Mert: 0 - İyileşme göremedim
Olcay: 0 - Planningde hatalar vardı
İrem: 0 - Ekstram yok
Özkan: ! - Ben AFK
Talha: 0 - Yorumsuzum
Buse: 1 - Güzel geçti
Barış: 0 - Ekstram yok
Ulaş: 0 - Ortalama bi sprintti
	-Ömer Faruk Olcay</t>
      </text>
    </comment>
    <comment authorId="0" ref="C61">
      <text>
        <t xml:space="preserve">Aysun: 0 - Geçen sprint ile aynı
Deniz: 1 - QA tasklardan ötürü
	-Ömer Faruk Olcay</t>
      </text>
    </comment>
    <comment authorId="0" ref="B63">
      <text>
        <t xml:space="preserve">Esra: 0 - Ekstra bişe yok
Mert: 1 - Denize 1, Aysuna 0
Olcay: 0 - Çok fazla yoktum 
İrem: 0 - Çok fazla yoktum
Özkan: 0 - Yorumsuz
Talha: 0 - Yani, bi fark yok
Buse: 1 - Denizle çok çalıştık, iletişim iyi
Barış: 1 - Task yoktu, ama dışardan iyidi
Ulaş: 0 - Ekstra bi olay olmadı
	-Ömer Faruk Olcay</t>
      </text>
    </comment>
    <comment authorId="0" ref="B62">
      <text>
        <t xml:space="preserve">Esra: 0 - Yorum yok
Mert: 0 - Yorum yok
Olcay: 0 - Sıkıntıları not ettim
İrem: 0 - Hastaydım sprintten uzaktım
Özkan: 0 - Problemlerle çok boğuşma oldu, birbirimize sahip çıktık
Talha: 0 - Güzel, geçen sprinte göre iyiydik
Buse: 0 - Ekstra bi yorumum yok
Barış: 0 - Taskım yoktu
Ulaş: 1 - Her şey ortada
	-Ömer Faruk Olcay</t>
      </text>
    </comment>
    <comment authorId="0" ref="B61">
      <text>
        <t xml:space="preserve">Aysun: 0 - Değişim yok
Deniz: 1 - Goal rahat geçti
	-Ömer Faruk Olcay</t>
      </text>
    </comment>
    <comment authorId="0" ref="C37">
      <text>
        <t xml:space="preserve">On Leave - 6 Working Days
	-Ömer Faruk Olcay</t>
      </text>
    </comment>
    <comment authorId="0" ref="B37">
      <text>
        <t xml:space="preserve">On Leave - 6 Working Days
	-Ömer Faruk Olcay</t>
      </text>
    </comment>
  </commentList>
</comments>
</file>

<file path=xl/comments2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2">
      <text>
        <t xml:space="preserve">it is binary component like sprint goal but to convert it to percentage: if half of the team participated in sprint goal tasks, enter 100% if not 0%</t>
      </text>
    </comment>
  </commentList>
</comments>
</file>

<file path=xl/comments2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4">
      <text>
        <t xml:space="preserve">it is binary component like  but to convert it to percentage: if it's 1, enter 100% if not 0%</t>
      </text>
    </comment>
    <comment authorId="0" ref="A33">
      <text>
        <t xml:space="preserve">it is binary component like sprint goal but to convert it to percentage: if half of the team participated in sprint goal tasks, enter 100% if not 0%</t>
      </text>
    </comment>
    <comment authorId="0" ref="U24">
      <text>
        <t xml:space="preserve">* 3 Gün arka arkaya deployment cancel oldu
* 1 Adet taskımız Security de kaldı
	-Umut Akkaya</t>
      </text>
    </comment>
    <comment authorId="0" ref="P60">
      <text>
        <t xml:space="preserve">eforsuz task var
	-Melih Mustafa Acet</t>
      </text>
    </comment>
  </commentList>
</comments>
</file>

<file path=xl/comments25.xml><?xml version="1.0" encoding="utf-8"?>
<comments xmlns:r="http://schemas.openxmlformats.org/officeDocument/2006/relationships" xmlns="http://schemas.openxmlformats.org/spreadsheetml/2006/main" xmlns:xr="http://schemas.microsoft.com/office/spreadsheetml/2014/revision">
  <authors>
    <author/>
  </authors>
  <commentList>
    <comment authorId="0" ref="H21">
      <text>
        <t xml:space="preserve">@eda.bereket@useinsider.com bura 3 sprint hesaplanacak şu an yanlış burası
_Assigned to eda.bereket@useinsider.com_
	-Görkem Duymaz</t>
      </text>
    </comment>
  </commentList>
</comments>
</file>

<file path=xl/sharedStrings.xml><?xml version="1.0" encoding="utf-8"?>
<sst xmlns="http://schemas.openxmlformats.org/spreadsheetml/2006/main" count="5080" uniqueCount="1796">
  <si>
    <t>Team Name</t>
  </si>
  <si>
    <t>Quarter</t>
  </si>
  <si>
    <t>Q1</t>
  </si>
  <si>
    <t>Q2</t>
  </si>
  <si>
    <t>Q3</t>
  </si>
  <si>
    <t>Q4</t>
  </si>
  <si>
    <t>Month</t>
  </si>
  <si>
    <t>Jan</t>
  </si>
  <si>
    <t>Feb</t>
  </si>
  <si>
    <t>March</t>
  </si>
  <si>
    <t>April</t>
  </si>
  <si>
    <t>May</t>
  </si>
  <si>
    <t>June</t>
  </si>
  <si>
    <t xml:space="preserve">July </t>
  </si>
  <si>
    <t>Aug</t>
  </si>
  <si>
    <t>Sep</t>
  </si>
  <si>
    <t>Oct</t>
  </si>
  <si>
    <t>Nov</t>
  </si>
  <si>
    <t>Dec</t>
  </si>
  <si>
    <t>Sprint Start-End Dates</t>
  </si>
  <si>
    <t>Sprint Name</t>
  </si>
  <si>
    <t>Total Effort In the Sprint</t>
  </si>
  <si>
    <t>Commited</t>
  </si>
  <si>
    <t>Emerged</t>
  </si>
  <si>
    <t>Emerged Rate</t>
  </si>
  <si>
    <t>Done Bug Effort</t>
  </si>
  <si>
    <t>Commited Bug Effort</t>
  </si>
  <si>
    <t>Emerged Bug Effort</t>
  </si>
  <si>
    <t>Done Pool Effort</t>
  </si>
  <si>
    <t>Done Pool Bug Effort</t>
  </si>
  <si>
    <t>Dev Tasks Done Effort</t>
  </si>
  <si>
    <t>All Tasks Done Effort</t>
  </si>
  <si>
    <t>Released Effort</t>
  </si>
  <si>
    <t>Undone PBI Effort</t>
  </si>
  <si>
    <t>Comitted Releasable Dev Tasks</t>
  </si>
  <si>
    <t>Sprint Goal</t>
  </si>
  <si>
    <t>Goal Achieved (0/1)</t>
  </si>
  <si>
    <t>Plan Accuracy</t>
  </si>
  <si>
    <t>Bug/Development Ratio</t>
  </si>
  <si>
    <t>Shipping Accuracy</t>
  </si>
  <si>
    <t>Partner Focus</t>
  </si>
  <si>
    <t>Bug Score</t>
  </si>
  <si>
    <t>Sprint Goal Effort (%)</t>
  </si>
  <si>
    <t xml:space="preserve">Number of Team Member Participation </t>
  </si>
  <si>
    <t>Advanced Sprint Goal Success</t>
  </si>
  <si>
    <t>Individual Committed Effort</t>
  </si>
  <si>
    <t>Individual Done Effort</t>
  </si>
  <si>
    <t>Metric</t>
  </si>
  <si>
    <t xml:space="preserve">Calculation </t>
  </si>
  <si>
    <t>Status</t>
  </si>
  <si>
    <t>Description</t>
  </si>
  <si>
    <t>Improvement + New Feature + Bug + Security + Tech Debt</t>
  </si>
  <si>
    <t>Depends on the teams "done definition" (Waiting for Release, Pending for Release, Ready for Release, Done) after UAT status</t>
  </si>
  <si>
    <t>Only the following type of tasks are included: Improvement + New Feature + Bug + Security + Tech Debt</t>
  </si>
  <si>
    <t>All tasks</t>
  </si>
  <si>
    <t>Done + Released on Prod</t>
  </si>
  <si>
    <t>Waiting for Release, Pending for Release, Ready for Release states are NOT included within this metric</t>
  </si>
  <si>
    <t>All undone tasks</t>
  </si>
  <si>
    <t>To Do, In Progress, In Testing etc.</t>
  </si>
  <si>
    <t>-</t>
  </si>
  <si>
    <t>Releaseble dev tasks effort that's been commited for that sprint</t>
  </si>
  <si>
    <r>
      <rPr>
        <rFont val="Arial"/>
        <color rgb="FF38761D"/>
      </rPr>
      <t xml:space="preserve">Released Effort </t>
    </r>
    <r>
      <rPr>
        <rFont val="Arial"/>
        <color rgb="FF38761D"/>
      </rPr>
      <t xml:space="preserve">/ </t>
    </r>
    <r>
      <rPr>
        <rFont val="Arial"/>
        <color rgb="FF990000"/>
      </rPr>
      <t>Dev Tasks Done Effort</t>
    </r>
  </si>
  <si>
    <t xml:space="preserve">Focuses on the percentage of work that has been released and is available on production for partners and end-users to utilize or available for test partners such as inshoppingcart </t>
  </si>
  <si>
    <r>
      <rPr>
        <rFont val="Arial"/>
        <color rgb="FF073763"/>
      </rPr>
      <t>All Done Tasks Effort</t>
    </r>
    <r>
      <rPr>
        <rFont val="Arial"/>
        <color rgb="FF073763"/>
      </rPr>
      <t xml:space="preserve"> / Commited</t>
    </r>
  </si>
  <si>
    <t>Measures the percentage of work that a team successfully completes out of the tasks they committed to during sprint planning, providing visibility into their ability to deliver on commitments.</t>
  </si>
  <si>
    <r>
      <rPr>
        <rFont val="Arial"/>
        <color theme="1"/>
      </rPr>
      <t xml:space="preserve">Bug / </t>
    </r>
    <r>
      <rPr>
        <rFont val="Arial"/>
        <color rgb="FF1C4587"/>
      </rPr>
      <t>All Done Tasks Effort</t>
    </r>
  </si>
  <si>
    <t>Aims to calculate the percantege of the bug effort out of all the tasks and shows how much the team focuses on the bugs in the long term</t>
  </si>
  <si>
    <t>Partner Focus Ratio</t>
  </si>
  <si>
    <r>
      <rPr>
        <rFont val="Arial"/>
        <color rgb="FF351C75"/>
      </rPr>
      <t>Comitted Releasable Dev Tasks</t>
    </r>
    <r>
      <rPr>
        <rFont val="Arial"/>
        <color rgb="FF351C75"/>
      </rPr>
      <t xml:space="preserve"> / Commited All Tasks</t>
    </r>
  </si>
  <si>
    <r>
      <rPr>
        <rFont val="Arial"/>
        <color theme="1"/>
      </rPr>
      <t xml:space="preserve">Calculates the percentage of deployable tasks out of all planned tasks, helps emphasize the importance of delivering value to the customer
</t>
    </r>
    <r>
      <rPr>
        <rFont val="Arial"/>
        <b/>
        <color theme="1"/>
      </rPr>
      <t xml:space="preserve">Hint: </t>
    </r>
    <r>
      <rPr>
        <rFont val="Arial"/>
        <color theme="1"/>
      </rPr>
      <t>This metric should be calculated as the final stage of sprint planning and filled in the sprint metrics sheet</t>
    </r>
  </si>
  <si>
    <t>If designers are included in the sprint, half of the whole team (dev+designers)</t>
  </si>
  <si>
    <t>If designers run separete sprint, half of the developers</t>
  </si>
  <si>
    <t xml:space="preserve">Sprint Goal Effort </t>
  </si>
  <si>
    <t>Calculated from the development sprint goal tasks. (QA &amp; Design tasks are not included)</t>
  </si>
  <si>
    <t>For Vikings and Kraken, include the Design Sprint goal as comment to the sheet. +Design System take design tasks as Sprint Goal</t>
  </si>
  <si>
    <t>Atrium</t>
  </si>
  <si>
    <t>28-12-2023 | 10-01-2024</t>
  </si>
  <si>
    <t>11-01-2024 | 24-01-2024</t>
  </si>
  <si>
    <t>25-01-2024 | 07-02-2024</t>
  </si>
  <si>
    <t>08-02-2024 | 21-02-2024</t>
  </si>
  <si>
    <t>22-02-2024 | 06-03-2024</t>
  </si>
  <si>
    <t>07-03-2024 | 20-03-2024</t>
  </si>
  <si>
    <t>21-03-2024 | 09-04-2024</t>
  </si>
  <si>
    <t>15-04-2024 | 17-04-2024</t>
  </si>
  <si>
    <t>18-04-2024 | 01-05-2024</t>
  </si>
  <si>
    <t>02-05-2024 | 16-05-2024</t>
  </si>
  <si>
    <t>17-05-2024 | 29-05-2024</t>
  </si>
  <si>
    <t>30-05-2024 | 12-06-2024</t>
  </si>
  <si>
    <t>13-06-2024 | 26-06-2024</t>
  </si>
  <si>
    <t>27-06-2024 | 10-07-2024</t>
  </si>
  <si>
    <t>11-07-2024 | 24-07-2024</t>
  </si>
  <si>
    <t>25-07-2024 | 07-08-2024</t>
  </si>
  <si>
    <t>08-08-2024 | 21-08-2024</t>
  </si>
  <si>
    <t>22-08-2024 | 09-09-2024</t>
  </si>
  <si>
    <t>09-09-2024 | 19-09-2024</t>
  </si>
  <si>
    <t>20-09-2024 | 09-10-2024</t>
  </si>
  <si>
    <t>10-10-2024 | 23-10-2024</t>
  </si>
  <si>
    <t>AT Sprint 135 - 23Q4-7</t>
  </si>
  <si>
    <t>AT Sprint 136 - 24Q1-1</t>
  </si>
  <si>
    <t>AT Sprint 137 - 24Q1-2</t>
  </si>
  <si>
    <t>AT Sprint 138 - 24Q1-3</t>
  </si>
  <si>
    <t>AT Sprint 139 - 24Q1-4</t>
  </si>
  <si>
    <t>AT Sprint 140 - 24Q1-5</t>
  </si>
  <si>
    <t>AT Sprint 141 - 24Q1-6</t>
  </si>
  <si>
    <t>AT Sprint 142 - 24Q2-1</t>
  </si>
  <si>
    <t>AT Sprint 143 - 24Q2-2</t>
  </si>
  <si>
    <t>AT Sprint 144 - 24Q2-3</t>
  </si>
  <si>
    <t>AT Sprint 145 - 24Q2-4</t>
  </si>
  <si>
    <t>AT Sprint 146 - 24Q2-5</t>
  </si>
  <si>
    <t>AT Sprint 147 - 24Q2-6</t>
  </si>
  <si>
    <t>AT Sprint 148 - 24Q3-1</t>
  </si>
  <si>
    <t>AT Sprint 149 - 24Q3-2</t>
  </si>
  <si>
    <t>AT Sprint 150 - 24Q3-3</t>
  </si>
  <si>
    <t>AT Sprint 151 - 24Q3-4</t>
  </si>
  <si>
    <t>AT Sprint 152 - 24Q3-5</t>
  </si>
  <si>
    <t>AT Sprint 153 - 24Q3-6</t>
  </si>
  <si>
    <t>AT Sprint 154 - 24Q3-7</t>
  </si>
  <si>
    <t>AT Sprint 155 - 24Q1-7</t>
  </si>
  <si>
    <r>
      <rPr>
        <rFont val="arial, sans, sans-serif"/>
        <color theme="1"/>
      </rPr>
      <t>1- Applying cache for product_id case:</t>
    </r>
    <r>
      <rPr>
        <rFont val="arial, sans, sans-serif"/>
        <b/>
        <color theme="1"/>
      </rPr>
      <t xml:space="preserve"> Not Done</t>
    </r>
    <r>
      <rPr>
        <rFont val="arial, sans, sans-serif"/>
        <color theme="1"/>
      </rPr>
      <t xml:space="preserve">
2- Completing half the post-incident action tasks : </t>
    </r>
    <r>
      <rPr>
        <rFont val="arial, sans, sans-serif"/>
        <b/>
        <color theme="1"/>
      </rPr>
      <t>Not Done</t>
    </r>
  </si>
  <si>
    <r>
      <rPr>
        <rFont val="arial, sans, sans-serif"/>
        <color theme="1"/>
      </rPr>
      <t xml:space="preserve">1- Completion of all post-incident tasks in the sprint : </t>
    </r>
    <r>
      <rPr>
        <rFont val="arial, sans, sans-serif"/>
        <b/>
        <color theme="1"/>
      </rPr>
      <t>Done</t>
    </r>
  </si>
  <si>
    <r>
      <rPr>
        <rFont val="arial, sans, sans-serif"/>
        <b/>
        <color theme="1"/>
      </rPr>
      <t>1- Complete web push tasks</t>
    </r>
    <r>
      <rPr>
        <rFont val="arial, sans, sans-serif"/>
        <color theme="1"/>
      </rPr>
      <t xml:space="preserve">
Tasks:
*AT-5903
Status: </t>
    </r>
    <r>
      <rPr>
        <rFont val="arial, sans, sans-serif"/>
        <b/>
        <color theme="1"/>
      </rPr>
      <t xml:space="preserve">Done
2- GLU Migration Test Completion
</t>
    </r>
    <r>
      <rPr>
        <rFont val="arial, sans, sans-serif"/>
        <color theme="1"/>
      </rPr>
      <t xml:space="preserve">Tasks:
*AT-6040
Status: </t>
    </r>
    <r>
      <rPr>
        <rFont val="arial, sans, sans-serif"/>
        <b/>
        <color theme="1"/>
      </rPr>
      <t>Done</t>
    </r>
  </si>
  <si>
    <r>
      <rPr>
        <rFont val="arial, sans, sans-serif"/>
        <b/>
        <color theme="1"/>
      </rPr>
      <t>1 - Group Level Tasks to be completed</t>
    </r>
    <r>
      <rPr>
        <rFont val="arial, sans, sans-serif"/>
        <color theme="1"/>
      </rPr>
      <t xml:space="preserve">
Tasks:
*AT-6180
*AT-6165
*AT-6179
*AT-6178
</t>
    </r>
    <r>
      <rPr>
        <rFont val="arial, sans, sans-serif"/>
        <b/>
        <color theme="1"/>
      </rPr>
      <t xml:space="preserve">2- Product_id tasks to be completed
</t>
    </r>
    <r>
      <rPr>
        <rFont val="arial, sans, sans-serif"/>
        <color theme="1"/>
      </rPr>
      <t>Tasks:
*AT-5842
*AT-6165
*AT-5890</t>
    </r>
  </si>
  <si>
    <r>
      <rPr>
        <rFont val="arial, sans, sans-serif"/>
        <b/>
        <color theme="1"/>
      </rPr>
      <t xml:space="preserve">1 - Watsons task to be finished
</t>
    </r>
    <r>
      <rPr>
        <rFont val="arial, sans, sans-serif"/>
        <color theme="1"/>
      </rPr>
      <t>*AT-6319
*AT-6320
*AT-6027
*AT-6291
*AT-6308
*AT-6190
*AT-6310</t>
    </r>
  </si>
  <si>
    <r>
      <rPr>
        <rFont val="arial, sans, sans-serif"/>
        <b/>
        <color theme="1"/>
      </rPr>
      <t xml:space="preserve">1- Region Queues to be separated
</t>
    </r>
    <r>
      <rPr>
        <rFont val="arial, sans, sans-serif"/>
        <color theme="1"/>
      </rPr>
      <t>*AT-6568
*AT-6596
*AT-6486
*AT-6591</t>
    </r>
  </si>
  <si>
    <r>
      <rPr>
        <rFont val="arial, sans, sans-serif"/>
        <b/>
        <color theme="1"/>
      </rPr>
      <t xml:space="preserve">1- Web Suite Tech Design Task Support
</t>
    </r>
    <r>
      <rPr>
        <rFont val="arial, sans, sans-serif"/>
        <color theme="1"/>
      </rPr>
      <t xml:space="preserve">*AT-6573
Status: </t>
    </r>
    <r>
      <rPr>
        <rFont val="arial, sans, sans-serif"/>
        <b/>
        <color theme="1"/>
      </rPr>
      <t xml:space="preserve">Done
2- Double Cloud with S3
</t>
    </r>
    <r>
      <rPr>
        <rFont val="arial, sans, sans-serif"/>
        <color theme="1"/>
      </rPr>
      <t xml:space="preserve">*AT-6709
*AT-6476
Status: </t>
    </r>
    <r>
      <rPr>
        <rFont val="arial, sans, sans-serif"/>
        <b/>
        <color theme="1"/>
      </rPr>
      <t>Done</t>
    </r>
  </si>
  <si>
    <r>
      <rPr>
        <rFont val="arial, sans, sans-serif"/>
        <color theme="1"/>
      </rPr>
      <t xml:space="preserve">1- </t>
    </r>
    <r>
      <rPr>
        <rFont val="arial, sans, sans-serif"/>
        <b/>
        <color theme="1"/>
      </rPr>
      <t xml:space="preserve">Hepsiburada shard migration to be finalized
</t>
    </r>
    <r>
      <rPr>
        <rFont val="arial, sans, sans-serif"/>
        <color theme="1"/>
      </rPr>
      <t>*AT-6808</t>
    </r>
  </si>
  <si>
    <r>
      <rPr>
        <rFont val="arial, sans, sans-serif"/>
        <b/>
        <color theme="1"/>
      </rPr>
      <t xml:space="preserve">1 - Finishing all S3 related tasks
</t>
    </r>
    <r>
      <rPr>
        <rFont val="arial, sans, sans-serif"/>
        <b val="0"/>
        <color theme="1"/>
      </rPr>
      <t xml:space="preserve">*AT-6809
*AT-6847
Status: </t>
    </r>
    <r>
      <rPr>
        <rFont val="arial, sans, sans-serif"/>
        <b/>
        <color theme="1"/>
      </rPr>
      <t xml:space="preserve">Done
2 - Finishing Hepsiburada tasks
</t>
    </r>
    <r>
      <rPr>
        <rFont val="arial, sans, sans-serif"/>
        <b val="0"/>
        <color theme="1"/>
      </rPr>
      <t xml:space="preserve">*AT-6863
*AT-6864
Status: </t>
    </r>
    <r>
      <rPr>
        <rFont val="arial, sans, sans-serif"/>
        <b/>
        <color theme="1"/>
      </rPr>
      <t>Done</t>
    </r>
  </si>
  <si>
    <r>
      <rPr>
        <rFont val="arial, sans, sans-serif"/>
        <b/>
        <color theme="1"/>
      </rPr>
      <t xml:space="preserve">NOTE
</t>
    </r>
    <r>
      <rPr>
        <rFont val="arial, sans, sans-serif"/>
        <b val="0"/>
        <color theme="1"/>
      </rPr>
      <t xml:space="preserve">Sprint goal has changed during the sprint aligning with our stakeholders due to partner urgency
</t>
    </r>
  </si>
  <si>
    <r>
      <rPr>
        <rFont val="arial, sans, sans-serif"/>
        <b/>
        <color theme="1"/>
      </rPr>
      <t xml:space="preserve">1- Finishing expressions tech design
</t>
    </r>
    <r>
      <rPr>
        <rFont val="arial, sans, sans-serif"/>
        <color theme="1"/>
      </rPr>
      <t>*AT-7140</t>
    </r>
  </si>
  <si>
    <r>
      <rPr>
        <rFont val="arial, sans, sans-serif"/>
        <b/>
        <color theme="1"/>
      </rPr>
      <t xml:space="preserve">1 - Completing Expressions Tasks
</t>
    </r>
    <r>
      <rPr>
        <rFont val="arial, sans, sans-serif"/>
        <b val="0"/>
        <color theme="1"/>
      </rPr>
      <t xml:space="preserve">*AT-7251
*AT-7249
*AT-7250
*AT-7255
*AT-7252
</t>
    </r>
    <r>
      <rPr>
        <rFont val="arial, sans, sans-serif"/>
        <b/>
        <color theme="1"/>
      </rPr>
      <t xml:space="preserve">Status: Done
2 - Region S3 implementation
</t>
    </r>
    <r>
      <rPr>
        <rFont val="arial, sans, sans-serif"/>
        <b val="0"/>
        <color theme="1"/>
      </rPr>
      <t xml:space="preserve">*AT-6995
</t>
    </r>
    <r>
      <rPr>
        <rFont val="arial, sans, sans-serif"/>
        <b/>
        <color theme="1"/>
      </rPr>
      <t>Status: Not Done</t>
    </r>
  </si>
  <si>
    <r>
      <rPr>
        <rFont val="arial, sans, sans-serif"/>
        <b/>
        <color theme="1"/>
      </rPr>
      <t xml:space="preserve">1 - Multi Device
</t>
    </r>
    <r>
      <rPr>
        <rFont val="arial, sans, sans-serif"/>
        <color theme="1"/>
      </rPr>
      <t xml:space="preserve">*AT-7165
</t>
    </r>
    <r>
      <rPr>
        <rFont val="arial, sans, sans-serif"/>
        <b/>
        <color theme="1"/>
      </rPr>
      <t>Status: Not Done</t>
    </r>
    <r>
      <rPr>
        <rFont val="arial, sans, sans-serif"/>
        <color theme="1"/>
      </rPr>
      <t xml:space="preserve">
</t>
    </r>
    <r>
      <rPr>
        <rFont val="arial, sans, sans-serif"/>
        <b/>
        <color theme="1"/>
      </rPr>
      <t xml:space="preserve">2- Suppression DB
</t>
    </r>
    <r>
      <rPr>
        <rFont val="arial, sans, sans-serif"/>
        <color theme="1"/>
      </rPr>
      <t xml:space="preserve">*AT-6612
</t>
    </r>
    <r>
      <rPr>
        <rFont val="arial, sans, sans-serif"/>
        <b/>
        <color theme="1"/>
      </rPr>
      <t>Status: Not Done</t>
    </r>
  </si>
  <si>
    <t>1- Expression Tasks
Status: Not Done
2- New Data Structure Tasks
Status: Not Done</t>
  </si>
  <si>
    <t>1 - Suppression DB: Done
2- New KR alignment: Done</t>
  </si>
  <si>
    <t>1 - Suppression DB
Status: Not Done
2 - Treasure Hunt
Status: Not Done</t>
  </si>
  <si>
    <r>
      <rPr>
        <rFont val="arial, sans, sans-serif"/>
        <color theme="1"/>
      </rPr>
      <t>1- Query templates and new scenarios coverage
Status:</t>
    </r>
    <r>
      <rPr>
        <rFont val="arial, sans, sans-serif"/>
        <b/>
        <color theme="1"/>
      </rPr>
      <t xml:space="preserve"> Done</t>
    </r>
  </si>
  <si>
    <r>
      <rPr>
        <rFont val="arial, sans, sans-serif"/>
        <color theme="1"/>
      </rPr>
      <t xml:space="preserve">1.We're going to finish our KR's items (Read task and Comparison task).
</t>
    </r>
    <r>
      <rPr>
        <rFont val="arial, sans, sans-serif"/>
        <b/>
        <color theme="1"/>
      </rPr>
      <t>Status: Not Done</t>
    </r>
  </si>
  <si>
    <r>
      <rPr>
        <rFont val="arial, sans, sans-serif"/>
        <color theme="1"/>
      </rPr>
      <t xml:space="preserve">1.We're going to finish our KR's items
</t>
    </r>
    <r>
      <rPr>
        <rFont val="arial, sans, sans-serif"/>
        <b/>
        <color theme="1"/>
      </rPr>
      <t xml:space="preserve">Status: Not Done </t>
    </r>
  </si>
  <si>
    <t xml:space="preserve">1.We're going to finish our KR's items
</t>
  </si>
  <si>
    <t xml:space="preserve">1. Prod migration 10 partners. 
2. Comparison of events &amp; attributes 
3. Complete fork work 
-Flagged TH tasks
</t>
  </si>
  <si>
    <t>Sprint Goal Efforts</t>
  </si>
  <si>
    <t>Sprint Goal KR Efforts</t>
  </si>
  <si>
    <t>Sprint Goal KR Effort (%)</t>
  </si>
  <si>
    <t>Updated A. Sprint Goal Success</t>
  </si>
  <si>
    <t>Cem Sancak</t>
  </si>
  <si>
    <t>Evren Baykan</t>
  </si>
  <si>
    <t>Furkan Kahveci</t>
  </si>
  <si>
    <t>Orhan Yediyıldız</t>
  </si>
  <si>
    <t>Uğur Eski</t>
  </si>
  <si>
    <t>Yunus Ağtaş</t>
  </si>
  <si>
    <t>Ömer Özmen</t>
  </si>
  <si>
    <t>Büşra Ayaksız</t>
  </si>
  <si>
    <t>Mertcan Taşkın</t>
  </si>
  <si>
    <t>Ali Çebi</t>
  </si>
  <si>
    <t>Furkan Tök</t>
  </si>
  <si>
    <t>PO Happiness</t>
  </si>
  <si>
    <t>Team Happiness</t>
  </si>
  <si>
    <t>Customer Happiness about PM</t>
  </si>
  <si>
    <t>Team Happiness about PM</t>
  </si>
  <si>
    <t>Cerberus</t>
  </si>
  <si>
    <t>28.12-11.01</t>
  </si>
  <si>
    <t>11.01-25.01</t>
  </si>
  <si>
    <t>25.01-07.02</t>
  </si>
  <si>
    <t>08.02-22.02</t>
  </si>
  <si>
    <t>22.02-07.03</t>
  </si>
  <si>
    <t>07.03-20.30</t>
  </si>
  <si>
    <t>21.03-03.04</t>
  </si>
  <si>
    <t>04.04-24.04</t>
  </si>
  <si>
    <t>25.04-09.05</t>
  </si>
  <si>
    <t>09.05-22.05</t>
  </si>
  <si>
    <t>23.05-05.06</t>
  </si>
  <si>
    <t>06.06-26.06</t>
  </si>
  <si>
    <t>27.06-10.07</t>
  </si>
  <si>
    <t>11.07-24.07</t>
  </si>
  <si>
    <t>25.07-07.08</t>
  </si>
  <si>
    <t>08.08-22.08</t>
  </si>
  <si>
    <t>22.08-04.09</t>
  </si>
  <si>
    <t>05.09-18.09</t>
  </si>
  <si>
    <t>19.09-02.10</t>
  </si>
  <si>
    <t>S29 - Sen de Yargılanacaksın</t>
  </si>
  <si>
    <t>S30 - CerberPus</t>
  </si>
  <si>
    <t>S31 - Zort</t>
  </si>
  <si>
    <t>S32
Başlayalım Başlayalıııım</t>
  </si>
  <si>
    <t>S33 -
Kültür Zaferi</t>
  </si>
  <si>
    <t>S34 -
Karabina ve Ceket</t>
  </si>
  <si>
    <t>S35 -
Cerberus Kavurma</t>
  </si>
  <si>
    <t>S36 - 
Yeniden Usero</t>
  </si>
  <si>
    <t>S37 - Cairflow</t>
  </si>
  <si>
    <t>S38 - &lt;UNK&gt;</t>
  </si>
  <si>
    <t>S39 - Pairflow</t>
  </si>
  <si>
    <t>S40 - Yugambeh People</t>
  </si>
  <si>
    <t>S41 - No Country for Burak</t>
  </si>
  <si>
    <t>S42 - Adío Useros Engagementi</t>
  </si>
  <si>
    <t>S43 - Arctictis Binturong</t>
  </si>
  <si>
    <t>S44 - Whiskey in the Jarir</t>
  </si>
  <si>
    <t>S45 - ijaringvale</t>
  </si>
  <si>
    <t>S46 - bilir faal german</t>
  </si>
  <si>
    <t>S47 - Black Reco Friday</t>
  </si>
  <si>
    <t>Getting User Engagement
algorithm ready to release 
and testing performance 
of algorithm</t>
  </si>
  <si>
    <t>Ensuring AB test 
process health 
and final checks on User Engagement</t>
  </si>
  <si>
    <t xml:space="preserve">Getting User Engagement
algorithm ready to release
and testing
performance of algorithm
</t>
  </si>
  <si>
    <t xml:space="preserve">Ensuring AB test process
health and final checks
on User Engagement
</t>
  </si>
  <si>
    <t xml:space="preserve">Deciding which scaling 
option will be proceeded 
with for User Engagement
</t>
  </si>
  <si>
    <t>Discovering various
fallback sources</t>
  </si>
  <si>
    <t xml:space="preserve">Finding action items
to increase recommendation 
generation step's quality
</t>
  </si>
  <si>
    <t>Finalizing the fallback
monitoring dashboards
and fallback research phase</t>
  </si>
  <si>
    <t xml:space="preserve">Finalizing fallback dashboard &amp;
fallback research
Tech Design.
</t>
  </si>
  <si>
    <t>Defining user engagement algorithm's
performance metrics and
resolving illegal memory access</t>
  </si>
  <si>
    <t>Analyzing problems, improvements,
implementing solutions
for User Engagement.</t>
  </si>
  <si>
    <t>Defining possible new attributes 
for model and implementing custom metrics.</t>
  </si>
  <si>
    <t>Implementing new features and adjusting data sets for User Engagement</t>
  </si>
  <si>
    <t>Analyzing new implementation outcomes and implementing brand and color features</t>
  </si>
  <si>
    <t>Releasing User Engagement with tolerable performance with completing targeted improvements</t>
  </si>
  <si>
    <t>Implementing the first phase of caching mechanism and defining next requirements</t>
  </si>
  <si>
    <t>Finalize and implement Smart
Caching and monitor outcomes</t>
  </si>
  <si>
    <t xml:space="preserve">Releasing caching and
increasing throughput plan
</t>
  </si>
  <si>
    <t>Resolving development plans,
determining smart event
management rules</t>
  </si>
  <si>
    <t>Cache implementation and
roadmap clarification,
enabling POC partners</t>
  </si>
  <si>
    <t>Resolving blocks on SR API caching mechanism for Black Friday readiness</t>
  </si>
  <si>
    <t>Mert Gürkan</t>
  </si>
  <si>
    <t>Can Yunus Erözden</t>
  </si>
  <si>
    <t>Burak Tağtekin</t>
  </si>
  <si>
    <t>Turan Seza Akgün</t>
  </si>
  <si>
    <t>Emir Faruk Erman</t>
  </si>
  <si>
    <t>Sprint Goal Contribution
(Comitted)</t>
  </si>
  <si>
    <t>Sprint Goal Contribution
(Delivered)</t>
  </si>
  <si>
    <t>Sprint Goal KR Focused Effort</t>
  </si>
  <si>
    <t>30.12-23-10.01</t>
  </si>
  <si>
    <t>11.01/24.01</t>
  </si>
  <si>
    <t>25.01/07.02</t>
  </si>
  <si>
    <t>8.2/21.2</t>
  </si>
  <si>
    <t>22.3/6.3</t>
  </si>
  <si>
    <t>7.3/20.3</t>
  </si>
  <si>
    <t>21.03/03.04</t>
  </si>
  <si>
    <t>04.04/24.04</t>
  </si>
  <si>
    <t>04.04/24.05</t>
  </si>
  <si>
    <t>9.5/22.5</t>
  </si>
  <si>
    <t>23.5/6.6</t>
  </si>
  <si>
    <t>6.6/27.6</t>
  </si>
  <si>
    <t>27.06/11.07</t>
  </si>
  <si>
    <t>11.07/24.07</t>
  </si>
  <si>
    <t>25.07/07.08</t>
  </si>
  <si>
    <t>08.08/21.08</t>
  </si>
  <si>
    <t>22.08/5.9</t>
  </si>
  <si>
    <t>06.09/19.09</t>
  </si>
  <si>
    <t>20.09/2.10</t>
  </si>
  <si>
    <t>3.10/16.10</t>
  </si>
  <si>
    <t>17.10/30.10</t>
  </si>
  <si>
    <t>#25 - 🧿 İYİYİZ 🧿</t>
  </si>
  <si>
    <t>#26 - ByeBye Ahtapot</t>
  </si>
  <si>
    <t>#3 - PositiveVibes</t>
  </si>
  <si>
    <t>#4 - KelimelerKiyafetsiz</t>
  </si>
  <si>
    <t>#5 - 21Forever</t>
  </si>
  <si>
    <t>#6 - Kiralık QA</t>
  </si>
  <si>
    <t>#7 - S.A. Muzat</t>
  </si>
  <si>
    <t>#8 - Eid Mubarak</t>
  </si>
  <si>
    <t>#9 - SerkanaMolaYok</t>
  </si>
  <si>
    <t>#10 - AutomationWars</t>
  </si>
  <si>
    <t>#11 - OffNeGünlerdi!</t>
  </si>
  <si>
    <t>#12 - ForArda</t>
  </si>
  <si>
    <t>#13 - HacıYatmazSerkan</t>
  </si>
  <si>
    <t>#14 - ForÜmmühan</t>
  </si>
  <si>
    <t>#15 - HangInThere</t>
  </si>
  <si>
    <t>#16 - Retreat</t>
  </si>
  <si>
    <t>#17 - All in!</t>
  </si>
  <si>
    <t>#18 - NoBugNoCry</t>
  </si>
  <si>
    <t>#19</t>
  </si>
  <si>
    <t>#20</t>
  </si>
  <si>
    <t>#21</t>
  </si>
  <si>
    <t>- Releasing mobile on-page template to the beta partners. - Finalizing analytics inconsistency and DS transition target.</t>
  </si>
  <si>
    <t>- Having 0 bugs on the Mobile OnPage Template - Decreasing the load on PCD change detection and improve performance - Ensure all partners don't have access to the sunsetted CloneDiv feature from InOne.</t>
  </si>
  <si>
    <t>Finalizing the Locale KR with all the UAT and QA camp outcomes implemented. Being ready for the 90-day lookback period GTM. Starting micro frontend implementation.</t>
  </si>
  <si>
    <t>Finalizing the viewable impression calculation logic, and aligning with Valorem to make sure development starts next sprint. Also, finalize the interface development of Locale KR.</t>
  </si>
  <si>
    <t>Providing the final version of impression logs, also enables tech design and create the following tasks for Stategy KR.</t>
  </si>
  <si>
    <t>1. Finalizing the strategy KR tech design and creating the development tasks for the upcoming sprints. 2. Finalising all log collection cases on the Analytics KR and leaving only FE developments on the page.</t>
  </si>
  <si>
    <t>Analytics: No tasks remain for its final GTM. RRS: Finishing GSS API Pt.1 development and all API test cases. GLA: Making it ready for development.</t>
  </si>
  <si>
    <t>Have a clear roadmap for the Enigma transition, all questions answered, and all tasks created. Complete the test for GSS API filtering capabilities.</t>
  </si>
  <si>
    <t>Deliver the live listing table with details (list, delete, de-activate).</t>
  </si>
  <si>
    <t>RSS - Creation flow is moved to production</t>
  </si>
  <si>
    <t>1. SR API works for all the algorithms. 2. Strategies can be deleted and edited.</t>
  </si>
  <si>
    <t>1. New (channel and page9 creation flow will be delivered. 2. Strategies will be called from the variant section. 3. Chef cases will be finalized in backend.</t>
  </si>
  <si>
    <t>1. Complete the strategy recommendation - api connection 2. Document the results from and solutions for "transition" research.</t>
  </si>
  <si>
    <t>1. Finalize and complete the SR API Strategy Endpoint 2. Complete the (new) creation flow. 3. Complete the 'connection' between Gachapon and strategy creation (algorithms)</t>
  </si>
  <si>
    <t>1. Transition (migration) flow will be completed.
2. Upsert &amp; insert validations will be completed.</t>
  </si>
  <si>
    <t>1. Chef is added to the strategy system as a functional algorithm 2. Recommendation Settings are handled for old and new campaigns. 3. Requirements are clarified and documented for Email channel enablement</t>
  </si>
  <si>
    <t>1. Completing the RRS development to have it ready for e2e test in the next sprint. 2. Improving how the viewable impressions are collected. 3. Completing the "tech design" for channel enablement.</t>
  </si>
  <si>
    <t>1- RSS Features &amp; bugs completion and make it ready for QA camp 2-Analytics Issues Resolution</t>
  </si>
  <si>
    <t>Releasing the RSS KR</t>
  </si>
  <si>
    <t>Completing at least 100 analytics campaign cases troubleshooting and finding root causes. Releasing the RRS KR</t>
  </si>
  <si>
    <t>Abdullah Alrifai</t>
  </si>
  <si>
    <t>Ahmet Önol</t>
  </si>
  <si>
    <t>Berk Yaşar</t>
  </si>
  <si>
    <t>Murat Çakmak</t>
  </si>
  <si>
    <t>Rafet Topçu</t>
  </si>
  <si>
    <t>Serkan Şahin</t>
  </si>
  <si>
    <t>Yasin Güzel</t>
  </si>
  <si>
    <t>Buğra Sercan Şeker</t>
  </si>
  <si>
    <t>Ümmühan Dönmezer</t>
  </si>
  <si>
    <t>Murat Feyzioğlu</t>
  </si>
  <si>
    <t>Mısra Öztoprak</t>
  </si>
  <si>
    <t>Ege Bozdemir</t>
  </si>
  <si>
    <t>Sinem Sungur</t>
  </si>
  <si>
    <t>Sprint Goal Contribution (Comitted)</t>
  </si>
  <si>
    <t>Sprint Goal Contribution (Delivered)</t>
  </si>
  <si>
    <t>03.01.24-17.01.24</t>
  </si>
  <si>
    <t>17.01.24-31.01.24</t>
  </si>
  <si>
    <t>31.01.24-14.02.24</t>
  </si>
  <si>
    <t>14.02.24-28.02.24</t>
  </si>
  <si>
    <t>28.02.24-13.03.24</t>
  </si>
  <si>
    <t>13.03.24-27.03.24</t>
  </si>
  <si>
    <t>27.03.24-09.04.24</t>
  </si>
  <si>
    <t>09.04.24-24.04.24</t>
  </si>
  <si>
    <t>24.04.24-08.05.24</t>
  </si>
  <si>
    <t>08.05.24-22.05.24</t>
  </si>
  <si>
    <t>22.05.24-05.06.24</t>
  </si>
  <si>
    <t>05.06.24-26.06.24</t>
  </si>
  <si>
    <t>26.06.24-10.07.24</t>
  </si>
  <si>
    <t>10.07.24-24.07.24</t>
  </si>
  <si>
    <t>24.07.24-07.08.24</t>
  </si>
  <si>
    <t>07.08.24-22.08.24</t>
  </si>
  <si>
    <t>22.08.24-04.09.24</t>
  </si>
  <si>
    <t>04.09.24-18.09.24</t>
  </si>
  <si>
    <t>18.09.24-02.10.24</t>
  </si>
  <si>
    <t>02.10.24-16.10.24</t>
  </si>
  <si>
    <t>DS 23-3, Sprint 5</t>
  </si>
  <si>
    <t>DS 23-3, Sprint 6</t>
  </si>
  <si>
    <t>DS 24-1, Sprint 7</t>
  </si>
  <si>
    <t>DS 24-1, Sprint 8</t>
  </si>
  <si>
    <t>DS 24-1, Sprint 9</t>
  </si>
  <si>
    <t>DS 24-1, Sprint 10</t>
  </si>
  <si>
    <t>DS-24-Q2 Sprint 1</t>
  </si>
  <si>
    <t>DS-24-Q2 Sprint 2</t>
  </si>
  <si>
    <t>DS-24-Q2 Sprint 3</t>
  </si>
  <si>
    <t>DS-24-Q2 Sprint 4</t>
  </si>
  <si>
    <t>DS-24-Q2 Sprint 5</t>
  </si>
  <si>
    <t>DS-24-Q2 Sprint 6</t>
  </si>
  <si>
    <t>DS-24-Q3 Sprint 1</t>
  </si>
  <si>
    <t>DS-24-Q3 Sprint 2</t>
  </si>
  <si>
    <t>DS-24-Q3 Sprint 3</t>
  </si>
  <si>
    <t>DS-24-Q3 Sprint 4</t>
  </si>
  <si>
    <t>DS-24-Q3 Sprint 5</t>
  </si>
  <si>
    <t>DS-24-Q3 Sprint 6</t>
  </si>
  <si>
    <t>DS-24-Q3 Sprint 7</t>
  </si>
  <si>
    <t>DS-24-Q4 Sprint 1</t>
  </si>
  <si>
    <r>
      <rPr>
        <rFont val="arial, sans, sans-serif"/>
        <color rgb="FF6AA84F"/>
        <u/>
      </rPr>
      <t>DT-15652</t>
    </r>
    <r>
      <rPr>
        <rFont val="arial, sans, sans-serif"/>
        <color rgb="FF6AA84F"/>
      </rPr>
      <t xml:space="preserve">
</t>
    </r>
    <r>
      <rPr>
        <rFont val="arial, sans, sans-serif"/>
        <color rgb="FF6AA84F"/>
        <u/>
      </rPr>
      <t>DT-15651</t>
    </r>
    <r>
      <rPr>
        <rFont val="arial, sans, sans-serif"/>
      </rPr>
      <t xml:space="preserve">
</t>
    </r>
    <r>
      <rPr>
        <rFont val="arial, sans, sans-serif"/>
        <color rgb="FF990000"/>
        <u/>
      </rPr>
      <t>DS-2400</t>
    </r>
    <r>
      <rPr>
        <rFont val="arial, sans, sans-serif"/>
      </rPr>
      <t xml:space="preserve">
</t>
    </r>
    <r>
      <rPr>
        <rFont val="arial, sans, sans-serif"/>
        <color rgb="FF6AA84F"/>
        <u/>
      </rPr>
      <t>DS-2618</t>
    </r>
  </si>
  <si>
    <r>
      <rPr>
        <rFont val="arial, sans, sans-serif"/>
        <color rgb="FF6AA84F"/>
        <u/>
      </rPr>
      <t>DS-2400</t>
    </r>
    <r>
      <rPr>
        <rFont val="arial, sans, sans-serif"/>
        <color rgb="FF6AA84F"/>
      </rPr>
      <t xml:space="preserve"> 
</t>
    </r>
    <r>
      <rPr>
        <rFont val="arial, sans, sans-serif"/>
        <color rgb="FF6AA84F"/>
        <u/>
      </rPr>
      <t>DS-2445</t>
    </r>
    <r>
      <rPr>
        <rFont val="arial, sans, sans-serif"/>
        <color rgb="FF6AA84F"/>
      </rPr>
      <t xml:space="preserve">
</t>
    </r>
    <r>
      <rPr>
        <rFont val="arial, sans, sans-serif"/>
        <color rgb="FF6AA84F"/>
        <u/>
      </rPr>
      <t>DT-15808</t>
    </r>
    <r>
      <rPr>
        <rFont val="arial, sans, sans-serif"/>
        <color rgb="FF6AA84F"/>
      </rPr>
      <t xml:space="preserve">
</t>
    </r>
    <r>
      <rPr>
        <rFont val="arial, sans, sans-serif"/>
        <color rgb="FF6AA84F"/>
        <u/>
      </rPr>
      <t>DT-15809</t>
    </r>
  </si>
  <si>
    <r>
      <rPr>
        <rFont val="Arial"/>
        <color rgb="FF6AA84F"/>
        <sz val="9.0"/>
      </rPr>
      <t xml:space="preserve">Relasing the Date PickerV2:
</t>
    </r>
    <r>
      <rPr>
        <rFont val="Arial"/>
        <color rgb="FF6AA84F"/>
        <sz val="9.0"/>
        <u/>
      </rPr>
      <t>DS-2696</t>
    </r>
    <r>
      <rPr>
        <rFont val="Arial"/>
        <color rgb="FF1F1F1F"/>
        <sz val="9.0"/>
      </rPr>
      <t xml:space="preserve">, </t>
    </r>
    <r>
      <rPr>
        <rFont val="Arial"/>
        <color rgb="FF6AA84F"/>
        <sz val="9.0"/>
        <u/>
      </rPr>
      <t>DS-2655</t>
    </r>
    <r>
      <rPr>
        <rFont val="Arial"/>
        <color rgb="FF1F1F1F"/>
        <sz val="9.0"/>
      </rPr>
      <t xml:space="preserve">
</t>
    </r>
    <r>
      <rPr>
        <rFont val="Arial"/>
        <color rgb="FFCC0000"/>
        <sz val="9.0"/>
      </rPr>
      <t>Completing the InOne Implementation of Modal v2 and Drawer:</t>
    </r>
    <r>
      <rPr>
        <rFont val="Arial"/>
        <color rgb="FF1F1F1F"/>
        <sz val="9.0"/>
      </rPr>
      <t xml:space="preserve">
</t>
    </r>
    <r>
      <rPr>
        <rFont val="Arial"/>
        <color rgb="FF6AA84F"/>
        <sz val="9.0"/>
        <u/>
      </rPr>
      <t>DS-2448</t>
    </r>
    <r>
      <rPr>
        <rFont val="Arial"/>
        <color rgb="FF1F1F1F"/>
        <sz val="9.0"/>
      </rPr>
      <t xml:space="preserve">, </t>
    </r>
    <r>
      <rPr>
        <rFont val="Arial"/>
        <color rgb="FFCC0000"/>
        <sz val="9.0"/>
        <u/>
      </rPr>
      <t>DS-2698</t>
    </r>
    <r>
      <rPr>
        <rFont val="Arial"/>
        <color rgb="FF1F1F1F"/>
        <sz val="9.0"/>
      </rPr>
      <t xml:space="preserve">
</t>
    </r>
    <r>
      <rPr>
        <rFont val="Arial"/>
        <color rgb="FF6AA84F"/>
        <sz val="9.0"/>
      </rPr>
      <t xml:space="preserve">Make the spacings consistent in Form Components
</t>
    </r>
    <r>
      <rPr>
        <rFont val="Arial"/>
        <color rgb="FF6AA84F"/>
        <sz val="9.0"/>
        <u/>
      </rPr>
      <t>DT-14773</t>
    </r>
    <r>
      <rPr>
        <rFont val="Arial"/>
        <color rgb="FF6AA84F"/>
        <sz val="9.0"/>
      </rPr>
      <t xml:space="preserve">, </t>
    </r>
    <r>
      <rPr>
        <rFont val="Arial"/>
        <color rgb="FF6AA84F"/>
        <sz val="9.0"/>
        <u/>
      </rPr>
      <t>DT-16281</t>
    </r>
  </si>
  <si>
    <r>
      <rPr>
        <rFont val="arial, sans, sans-serif"/>
        <color rgb="FF38761D"/>
        <sz val="8.0"/>
      </rPr>
      <t xml:space="preserve">Creating the main structure of Sidebarv2
</t>
    </r>
    <r>
      <rPr>
        <rFont val="arial, sans, sans-serif"/>
        <color rgb="FF38761D"/>
        <sz val="8.0"/>
        <u/>
      </rPr>
      <t>DS-2752</t>
    </r>
    <r>
      <rPr>
        <rFont val="arial, sans, sans-serif"/>
        <color rgb="FF38761D"/>
        <sz val="8.0"/>
      </rPr>
      <t xml:space="preserve">,  </t>
    </r>
    <r>
      <rPr>
        <rFont val="arial, sans, sans-serif"/>
        <color rgb="FF38761D"/>
        <sz val="8.0"/>
        <u/>
      </rPr>
      <t>DS-2756</t>
    </r>
    <r>
      <rPr>
        <rFont val="arial, sans, sans-serif"/>
        <color rgb="FF38761D"/>
        <sz val="8.0"/>
      </rPr>
      <t xml:space="preserve">
Release Drawer Component
</t>
    </r>
    <r>
      <rPr>
        <rFont val="arial, sans, sans-serif"/>
        <color rgb="FF38761D"/>
        <sz val="8.0"/>
        <u/>
      </rPr>
      <t>DS-2698</t>
    </r>
    <r>
      <rPr>
        <rFont val="arial, sans, sans-serif"/>
        <color rgb="FF38761D"/>
        <sz val="8.0"/>
      </rPr>
      <t xml:space="preserve">
Prepare the Final Design for Sidebarv2
</t>
    </r>
    <r>
      <rPr>
        <rFont val="arial, sans, sans-serif"/>
        <color rgb="FF38761D"/>
        <sz val="8.0"/>
        <u/>
      </rPr>
      <t>DT-16204</t>
    </r>
    <r>
      <rPr>
        <rFont val="arial, sans, sans-serif"/>
        <color rgb="FF38761D"/>
        <sz val="8.0"/>
      </rPr>
      <t xml:space="preserve">, </t>
    </r>
    <r>
      <rPr>
        <rFont val="arial, sans, sans-serif"/>
        <color rgb="FF38761D"/>
        <sz val="8.0"/>
        <u/>
      </rPr>
      <t>DT-16575</t>
    </r>
  </si>
  <si>
    <r>
      <rPr>
        <rFont val="arial, sans, sans-serif"/>
        <color rgb="FF38761D"/>
        <sz val="8.0"/>
      </rPr>
      <t xml:space="preserve">Finishing Sidebar v2 Development and Design: </t>
    </r>
    <r>
      <rPr>
        <rFont val="arial, sans, sans-serif"/>
        <color rgb="FF38761D"/>
        <sz val="8.0"/>
        <u/>
      </rPr>
      <t>DS-2760</t>
    </r>
    <r>
      <rPr>
        <rFont val="arial, sans, sans-serif"/>
        <color rgb="FF38761D"/>
        <sz val="8.0"/>
      </rPr>
      <t xml:space="preserve">, </t>
    </r>
    <r>
      <rPr>
        <rFont val="arial, sans, sans-serif"/>
        <color rgb="FF38761D"/>
        <sz val="8.0"/>
        <u/>
      </rPr>
      <t>DT-16860</t>
    </r>
    <r>
      <rPr>
        <rFont val="arial, sans, sans-serif"/>
        <color rgb="FF38761D"/>
        <sz val="8.0"/>
      </rPr>
      <t xml:space="preserve">
Enabling NNG Output Functionality regarding Split Button: </t>
    </r>
    <r>
      <rPr>
        <rFont val="arial, sans, sans-serif"/>
        <color rgb="FF38761D"/>
        <sz val="8.0"/>
        <u/>
      </rPr>
      <t>DS-2728</t>
    </r>
    <r>
      <rPr>
        <rFont val="arial, sans, sans-serif"/>
        <color rgb="FF38761D"/>
        <sz val="8.0"/>
      </rPr>
      <t xml:space="preserve">
Finish Benchmark and Ideation for Ghost Input: </t>
    </r>
    <r>
      <rPr>
        <rFont val="arial, sans, sans-serif"/>
        <color rgb="FF38761D"/>
        <sz val="8.0"/>
        <u/>
      </rPr>
      <t>DT-16847</t>
    </r>
  </si>
  <si>
    <r>
      <rPr>
        <rFont val="arial, sans, sans-serif"/>
        <color rgb="FF38761D"/>
        <sz val="9.0"/>
      </rPr>
      <t xml:space="preserve">Implementing Sidebar v2 to the InOne: </t>
    </r>
    <r>
      <rPr>
        <rFont val="arial, sans, sans-serif"/>
        <color rgb="FF38761D"/>
        <sz val="9.0"/>
        <u/>
      </rPr>
      <t>DS-2764</t>
    </r>
    <r>
      <rPr>
        <rFont val="arial, sans, sans-serif"/>
        <color rgb="FF38761D"/>
        <sz val="9.0"/>
      </rPr>
      <t xml:space="preserve"> </t>
    </r>
    <r>
      <rPr>
        <rFont val="arial, sans, sans-serif"/>
        <color rgb="FF38761D"/>
        <sz val="9.0"/>
        <u/>
      </rPr>
      <t>DS-2815</t>
    </r>
    <r>
      <rPr>
        <rFont val="arial, sans, sans-serif"/>
        <color rgb="FF38761D"/>
        <sz val="9.0"/>
      </rPr>
      <t xml:space="preserve">, </t>
    </r>
    <r>
      <rPr>
        <rFont val="arial, sans, sans-serif"/>
        <color rgb="FF38761D"/>
        <sz val="9.0"/>
        <u/>
      </rPr>
      <t>DT-16649</t>
    </r>
    <r>
      <rPr>
        <rFont val="arial, sans, sans-serif"/>
        <color rgb="FF38761D"/>
        <sz val="9.0"/>
      </rPr>
      <t xml:space="preserve">
Enabling Dropdown Usage in Chips: </t>
    </r>
    <r>
      <rPr>
        <rFont val="arial, sans, sans-serif"/>
        <color rgb="FF38761D"/>
        <sz val="9.0"/>
        <u/>
      </rPr>
      <t>DS-2308</t>
    </r>
    <r>
      <rPr>
        <rFont val="arial, sans, sans-serif"/>
        <color rgb="FF38761D"/>
        <sz val="9.0"/>
      </rPr>
      <t xml:space="preserve">
Having Smaller Size in Form Components: </t>
    </r>
    <r>
      <rPr>
        <rFont val="arial, sans, sans-serif"/>
        <color rgb="FF38761D"/>
        <sz val="9.0"/>
        <u/>
      </rPr>
      <t>DT-17142</t>
    </r>
  </si>
  <si>
    <r>
      <rPr>
        <rFont val="arial, sans, sans-serif"/>
        <color rgb="FF38761D"/>
        <sz val="8.0"/>
      </rPr>
      <t xml:space="preserve">Enable Usage of Organisms with v2 Stylings in Figma Level: </t>
    </r>
    <r>
      <rPr>
        <rFont val="arial, sans, sans-serif"/>
        <color rgb="FF38761D"/>
        <sz val="8.0"/>
        <u/>
      </rPr>
      <t>DT-17348</t>
    </r>
    <r>
      <rPr>
        <rFont val="arial, sans, sans-serif"/>
        <color rgb="FF38761D"/>
        <sz val="8.0"/>
      </rPr>
      <t xml:space="preserve">, </t>
    </r>
    <r>
      <rPr>
        <rFont val="arial, sans, sans-serif"/>
        <color rgb="FF38761D"/>
        <sz val="8.0"/>
        <u/>
      </rPr>
      <t>DT-17346</t>
    </r>
    <r>
      <rPr>
        <rFont val="arial, sans, sans-serif"/>
        <color rgb="FF38761D"/>
        <sz val="8.0"/>
      </rPr>
      <t xml:space="preserve">
Finalize the Sidebar v2 Development: </t>
    </r>
    <r>
      <rPr>
        <rFont val="arial, sans, sans-serif"/>
        <color rgb="FF38761D"/>
        <sz val="8.0"/>
        <u/>
      </rPr>
      <t>DS-2768</t>
    </r>
    <r>
      <rPr>
        <rFont val="arial, sans, sans-serif"/>
        <color rgb="FF38761D"/>
        <sz val="8.0"/>
      </rPr>
      <t xml:space="preserve">
Provide US Date Formatting in Data Table and Charts: </t>
    </r>
    <r>
      <rPr>
        <rFont val="arial, sans, sans-serif"/>
        <color rgb="FF38761D"/>
        <sz val="8.0"/>
        <u/>
      </rPr>
      <t>DS-2886</t>
    </r>
    <r>
      <rPr>
        <rFont val="arial, sans, sans-serif"/>
        <color rgb="FF38761D"/>
        <sz val="8.0"/>
      </rPr>
      <t xml:space="preserve">, </t>
    </r>
    <r>
      <rPr>
        <rFont val="arial, sans, sans-serif"/>
        <color rgb="FF38761D"/>
        <sz val="8.0"/>
        <u/>
      </rPr>
      <t>DS-2877</t>
    </r>
  </si>
  <si>
    <r>
      <rPr>
        <rFont val="Arial"/>
        <color rgb="FF38761D"/>
        <sz val="8.0"/>
      </rPr>
      <t xml:space="preserve">Start v2 Transitioning Process: </t>
    </r>
    <r>
      <rPr>
        <rFont val="Arial"/>
        <color rgb="FF38761D"/>
        <sz val="8.0"/>
        <u/>
      </rPr>
      <t xml:space="preserve">DS-2921 </t>
    </r>
    <r>
      <rPr>
        <rFont val="Arial"/>
        <color rgb="FF38761D"/>
        <sz val="8.0"/>
      </rPr>
      <t xml:space="preserve">
Enable the Teams to use Bulk Action: </t>
    </r>
    <r>
      <rPr>
        <rFont val="Arial"/>
        <color rgb="FF38761D"/>
        <sz val="8.0"/>
        <u/>
      </rPr>
      <t xml:space="preserve">DS-2853 </t>
    </r>
    <r>
      <rPr>
        <rFont val="Arial"/>
        <color rgb="FF38761D"/>
        <sz val="8.0"/>
      </rPr>
      <t xml:space="preserve">
Resolve the Multi Level Dropdown Issue in Modal and Drawer: </t>
    </r>
    <r>
      <rPr>
        <rFont val="Arial"/>
        <color rgb="FF38761D"/>
        <sz val="8.0"/>
        <u/>
      </rPr>
      <t xml:space="preserve">DT-17586 </t>
    </r>
    <r>
      <rPr>
        <rFont val="Arial"/>
        <color rgb="FF38761D"/>
        <sz val="8.0"/>
      </rPr>
      <t xml:space="preserve">
Provide Solution to the Pinned Column Issue in Data Table: </t>
    </r>
    <r>
      <rPr>
        <rFont val="Arial"/>
        <color rgb="FF38761D"/>
        <sz val="8.0"/>
        <u/>
      </rPr>
      <t>DT-17757</t>
    </r>
  </si>
  <si>
    <r>
      <rPr>
        <rFont val="arial, sans, sans-serif"/>
        <color rgb="FF38761D"/>
        <sz val="8.0"/>
      </rPr>
      <t xml:space="preserve">Completing Migration of Create Button </t>
    </r>
    <r>
      <rPr>
        <rFont val="arial, sans, sans-serif"/>
        <color rgb="FFCC0000"/>
        <sz val="8.0"/>
        <u/>
      </rPr>
      <t>DS-2939</t>
    </r>
    <r>
      <rPr>
        <rFont val="arial, sans, sans-serif"/>
        <color rgb="FF38761D"/>
        <sz val="8.0"/>
      </rPr>
      <t xml:space="preserve">, </t>
    </r>
    <r>
      <rPr>
        <rFont val="arial, sans, sans-serif"/>
        <color rgb="FF38761D"/>
        <sz val="8.0"/>
        <u/>
      </rPr>
      <t>DS-2919</t>
    </r>
    <r>
      <rPr>
        <rFont val="arial, sans, sans-serif"/>
        <color rgb="FF38761D"/>
        <sz val="8.0"/>
      </rPr>
      <t xml:space="preserve">
Create PLG Library </t>
    </r>
    <r>
      <rPr>
        <rFont val="arial, sans, sans-serif"/>
        <color rgb="FF38761D"/>
        <sz val="8.0"/>
        <u/>
      </rPr>
      <t>DT-17728</t>
    </r>
    <r>
      <rPr>
        <rFont val="arial, sans, sans-serif"/>
        <color rgb="FF38761D"/>
        <sz val="8.0"/>
      </rPr>
      <t xml:space="preserve">
Enable Advanced Kube Usage within DS Team </t>
    </r>
    <r>
      <rPr>
        <rFont val="arial, sans, sans-serif"/>
        <color rgb="FF38761D"/>
        <sz val="8.0"/>
        <u/>
      </rPr>
      <t>DS-2955</t>
    </r>
  </si>
  <si>
    <r>
      <rPr>
        <rFont val="arial, sans, sans-serif"/>
        <color rgb="FF38761D"/>
        <sz val="8.0"/>
      </rPr>
      <t xml:space="preserve">Start Working on new Button v2 Migration KR: </t>
    </r>
    <r>
      <rPr>
        <rFont val="arial, sans, sans-serif"/>
        <color rgb="FF38761D"/>
        <sz val="8.0"/>
        <u/>
      </rPr>
      <t>DS-3010</t>
    </r>
    <r>
      <rPr>
        <rFont val="arial, sans, sans-serif"/>
        <color rgb="FF38761D"/>
        <sz val="8.0"/>
      </rPr>
      <t xml:space="preserve">
Complete Sidebar KR Related Points: </t>
    </r>
    <r>
      <rPr>
        <rFont val="arial, sans, sans-serif"/>
        <color rgb="FF38761D"/>
        <sz val="8.0"/>
        <u/>
      </rPr>
      <t>DS-2981</t>
    </r>
    <r>
      <rPr>
        <rFont val="arial, sans, sans-serif"/>
        <color rgb="FF38761D"/>
        <sz val="8.0"/>
      </rPr>
      <t xml:space="preserve">, </t>
    </r>
    <r>
      <rPr>
        <rFont val="arial, sans, sans-serif"/>
        <color rgb="FF38761D"/>
        <sz val="8.0"/>
        <u/>
      </rPr>
      <t>DS-2982</t>
    </r>
    <r>
      <rPr>
        <rFont val="arial, sans, sans-serif"/>
        <color rgb="FF38761D"/>
        <sz val="8.0"/>
      </rPr>
      <t xml:space="preserve">
Start Documentation KR on Design Side: </t>
    </r>
    <r>
      <rPr>
        <rFont val="arial, sans, sans-serif"/>
        <color rgb="FF38761D"/>
        <sz val="8.0"/>
        <u/>
      </rPr>
      <t>DT-18462</t>
    </r>
    <r>
      <rPr>
        <rFont val="arial, sans, sans-serif"/>
        <color rgb="FF38761D"/>
        <sz val="8.0"/>
      </rPr>
      <t xml:space="preserve">, </t>
    </r>
    <r>
      <rPr>
        <rFont val="arial, sans, sans-serif"/>
        <color rgb="FF38761D"/>
        <sz val="8.0"/>
        <u/>
      </rPr>
      <t>DT-18458</t>
    </r>
  </si>
  <si>
    <r>
      <rPr>
        <rFont val="arial, sans, sans-serif"/>
        <color rgb="FF38761D"/>
        <sz val="8.0"/>
      </rPr>
      <t xml:space="preserve">Complete Button Migration </t>
    </r>
    <r>
      <rPr>
        <rFont val="arial, sans, sans-serif"/>
        <color rgb="FF38761D"/>
        <sz val="8.0"/>
        <u/>
      </rPr>
      <t xml:space="preserve">DS-3051
</t>
    </r>
    <r>
      <rPr>
        <rFont val="arial, sans, sans-serif"/>
        <color rgb="FF38761D"/>
        <sz val="8.0"/>
      </rPr>
      <t xml:space="preserve">Completing Vitest Implementation </t>
    </r>
    <r>
      <rPr>
        <rFont val="arial, sans, sans-serif"/>
        <color rgb="FF38761D"/>
        <sz val="8.0"/>
        <u/>
      </rPr>
      <t xml:space="preserve">DS-3052
</t>
    </r>
    <r>
      <rPr>
        <rFont val="arial, sans, sans-serif"/>
        <color rgb="FF38761D"/>
        <sz val="8.0"/>
      </rPr>
      <t xml:space="preserve">Start Creating Documentations in Supernova </t>
    </r>
    <r>
      <rPr>
        <rFont val="arial, sans, sans-serif"/>
        <color rgb="FF38761D"/>
        <sz val="8.0"/>
        <u/>
      </rPr>
      <t>DT-17739</t>
    </r>
    <r>
      <rPr>
        <rFont val="arial, sans, sans-serif"/>
        <color rgb="FF38761D"/>
        <sz val="8.0"/>
      </rPr>
      <t xml:space="preserve">, </t>
    </r>
    <r>
      <rPr>
        <rFont val="arial, sans, sans-serif"/>
        <color rgb="FF38761D"/>
        <sz val="8.0"/>
        <u/>
      </rPr>
      <t>DT-17856</t>
    </r>
  </si>
  <si>
    <r>
      <rPr>
        <rFont val="arial, sans, sans-serif"/>
        <color rgb="FF38761D"/>
        <sz val="9.0"/>
      </rPr>
      <t xml:space="preserve">Complete Sidebar v2 findings and make it ready for QA Camp. DS-3062
Migrating to Vitest to create route for CI/CD process for DS. DS-3078
Complete Documentation for RTI and Start Documenting Select Dropdown Menu. DT-17736, </t>
    </r>
    <r>
      <rPr>
        <rFont val="arial, sans, sans-serif"/>
        <color rgb="FF38761D"/>
        <sz val="9.0"/>
        <u/>
      </rPr>
      <t>DT-19099</t>
    </r>
  </si>
  <si>
    <r>
      <rPr>
        <rFont val="arial, sans, sans-serif"/>
        <color rgb="FF38761D"/>
        <sz val="9.0"/>
      </rPr>
      <t xml:space="preserve">Completing Sidebar QA Camp Fixings: </t>
    </r>
    <r>
      <rPr>
        <rFont val="arial, sans, sans-serif"/>
        <color rgb="FF38761D"/>
        <sz val="9.0"/>
        <u/>
      </rPr>
      <t>DS-3116</t>
    </r>
    <r>
      <rPr>
        <rFont val="arial, sans, sans-serif"/>
        <sz val="9.0"/>
      </rPr>
      <t xml:space="preserve">
</t>
    </r>
    <r>
      <rPr>
        <rFont val="arial, sans, sans-serif"/>
        <color rgb="FFCC0000"/>
        <sz val="9.0"/>
      </rPr>
      <t xml:space="preserve">Completing Single Button Findings: </t>
    </r>
    <r>
      <rPr>
        <rFont val="arial, sans, sans-serif"/>
        <color rgb="FFCC0000"/>
        <sz val="9.0"/>
        <u/>
      </rPr>
      <t>DS-3128</t>
    </r>
    <r>
      <rPr>
        <rFont val="arial, sans, sans-serif"/>
        <sz val="9.0"/>
      </rPr>
      <t xml:space="preserve">
</t>
    </r>
    <r>
      <rPr>
        <rFont val="arial, sans, sans-serif"/>
        <color rgb="FF38761D"/>
        <sz val="9.0"/>
      </rPr>
      <t xml:space="preserve">Complete Documentation for Multi Select Dropdown Menu and Modal v2: </t>
    </r>
    <r>
      <rPr>
        <rFont val="arial, sans, sans-serif"/>
        <color rgb="FF38761D"/>
        <sz val="9.0"/>
        <u/>
      </rPr>
      <t>DT-17857,</t>
    </r>
    <r>
      <rPr>
        <rFont val="arial, sans, sans-serif"/>
        <color rgb="FF38761D"/>
        <sz val="9.0"/>
      </rPr>
      <t xml:space="preserve"> </t>
    </r>
    <r>
      <rPr>
        <rFont val="arial, sans, sans-serif"/>
        <color rgb="FF38761D"/>
        <sz val="9.0"/>
        <u/>
      </rPr>
      <t>DT-19101</t>
    </r>
  </si>
  <si>
    <r>
      <rPr>
        <rFont val="Arial"/>
        <color rgb="FF38761D"/>
        <sz val="8.0"/>
      </rPr>
      <t xml:space="preserve">Increase the usage of Button v2 component in DS Repository </t>
    </r>
    <r>
      <rPr>
        <rFont val="Arial"/>
        <color rgb="FF38761D"/>
        <sz val="8.0"/>
        <u/>
      </rPr>
      <t xml:space="preserve">DS-3018
</t>
    </r>
    <r>
      <rPr>
        <rFont val="Arial"/>
        <color rgb="FF38761D"/>
        <sz val="8.0"/>
      </rPr>
      <t xml:space="preserve">Increase test coverage for Design System Components </t>
    </r>
    <r>
      <rPr>
        <rFont val="Arial"/>
        <color rgb="FF38761D"/>
        <sz val="8.0"/>
        <u/>
      </rPr>
      <t>DS-3166</t>
    </r>
    <r>
      <rPr>
        <rFont val="Arial"/>
        <color rgb="FF38761D"/>
        <sz val="8.0"/>
      </rPr>
      <t xml:space="preserve"> 
Complete documentation for v2 component in SuperNova </t>
    </r>
    <r>
      <rPr>
        <rFont val="Arial"/>
        <color rgb="FF38761D"/>
        <sz val="8.0"/>
        <u/>
      </rPr>
      <t>DT-17849</t>
    </r>
    <r>
      <rPr>
        <rFont val="Arial"/>
        <color rgb="FF38761D"/>
        <sz val="8.0"/>
      </rPr>
      <t xml:space="preserve"> </t>
    </r>
    <r>
      <rPr>
        <rFont val="Arial"/>
        <color rgb="FF38761D"/>
        <sz val="8.0"/>
        <u/>
      </rPr>
      <t>DT-17851</t>
    </r>
  </si>
  <si>
    <r>
      <rPr>
        <rFont val="Arial"/>
        <color rgb="FFCC0000"/>
        <sz val="8.0"/>
      </rPr>
      <t>Completing Vitest Migration for DP and RTI</t>
    </r>
    <r>
      <rPr>
        <rFont val="Arial"/>
        <color rgb="FF1F1F1F"/>
        <sz val="8.0"/>
      </rPr>
      <t xml:space="preserve"> - </t>
    </r>
    <r>
      <rPr>
        <rFont val="Arial"/>
        <color rgb="FF38761D"/>
        <sz val="8.0"/>
        <u/>
      </rPr>
      <t>DS-3206</t>
    </r>
    <r>
      <rPr>
        <rFont val="Arial"/>
        <color rgb="FF1F1F1F"/>
        <sz val="8.0"/>
      </rPr>
      <t xml:space="preserve"> , </t>
    </r>
    <r>
      <rPr>
        <rFont val="Arial"/>
        <color rgb="FFCC0000"/>
        <sz val="8.0"/>
        <u/>
      </rPr>
      <t xml:space="preserve">DS-3203 </t>
    </r>
    <r>
      <rPr>
        <rFont val="Arial"/>
        <color rgb="FF1F1F1F"/>
        <sz val="8.0"/>
      </rPr>
      <t xml:space="preserve">
</t>
    </r>
    <r>
      <rPr>
        <rFont val="Arial"/>
        <color rgb="FF38761D"/>
        <sz val="8.0"/>
      </rPr>
      <t>Preparing Sidebar for AUT Camp.</t>
    </r>
    <r>
      <rPr>
        <rFont val="Arial"/>
        <color rgb="FF38761D"/>
        <sz val="8.0"/>
        <u/>
      </rPr>
      <t xml:space="preserve"> DS-3208 </t>
    </r>
    <r>
      <rPr>
        <rFont val="Arial"/>
        <color rgb="FF1F1F1F"/>
        <sz val="8.0"/>
      </rPr>
      <t xml:space="preserve">
</t>
    </r>
    <r>
      <rPr>
        <rFont val="Arial"/>
        <color rgb="FFCC0000"/>
        <sz val="8.0"/>
      </rPr>
      <t>Start Releasing Create Button in All Repositories Except HB. -</t>
    </r>
    <r>
      <rPr>
        <rFont val="Arial"/>
        <color rgb="FFCC0000"/>
        <sz val="8.0"/>
        <u/>
      </rPr>
      <t xml:space="preserve"> DS-3212</t>
    </r>
    <r>
      <rPr>
        <rFont val="Arial"/>
        <color rgb="FFCC0000"/>
        <sz val="8.0"/>
      </rPr>
      <t xml:space="preserve"> </t>
    </r>
    <r>
      <rPr>
        <rFont val="Arial"/>
        <color rgb="FF1F1F1F"/>
        <sz val="8.0"/>
      </rPr>
      <t xml:space="preserve">
</t>
    </r>
    <r>
      <rPr>
        <rFont val="Arial"/>
        <color rgb="FF38761D"/>
        <sz val="8.0"/>
      </rPr>
      <t xml:space="preserve">Upgrading the AG Grid and check the DTs in Panel - </t>
    </r>
    <r>
      <rPr>
        <rFont val="Arial"/>
        <color rgb="FF38761D"/>
        <sz val="8.0"/>
        <u/>
      </rPr>
      <t xml:space="preserve">DS-3202 </t>
    </r>
    <r>
      <rPr>
        <rFont val="Arial"/>
        <color rgb="FF1F1F1F"/>
        <sz val="8.0"/>
      </rPr>
      <t xml:space="preserve">
</t>
    </r>
    <r>
      <rPr>
        <rFont val="Arial"/>
        <color rgb="FF38761D"/>
        <sz val="8.0"/>
      </rPr>
      <t xml:space="preserve">Fixing inconsistencies of listed components (written in ACs) - </t>
    </r>
    <r>
      <rPr>
        <rFont val="Arial"/>
        <color rgb="FF38761D"/>
        <sz val="8.0"/>
        <u/>
      </rPr>
      <t>DT-20111</t>
    </r>
    <r>
      <rPr>
        <rFont val="Arial"/>
        <color rgb="FF38761D"/>
        <sz val="8.0"/>
      </rPr>
      <t xml:space="preserve">, </t>
    </r>
    <r>
      <rPr>
        <rFont val="Arial"/>
        <color rgb="FF38761D"/>
        <sz val="8.0"/>
        <u/>
      </rPr>
      <t xml:space="preserve"> DT-19931</t>
    </r>
  </si>
  <si>
    <r>
      <rPr>
        <rFont val="Arial"/>
        <color rgb="FF38761D"/>
        <sz val="8.0"/>
      </rPr>
      <t xml:space="preserve">Fixing all the Sidebar UAT Camp Findings. </t>
    </r>
    <r>
      <rPr>
        <rFont val="Arial"/>
        <color rgb="FF38761D"/>
        <sz val="8.0"/>
        <u/>
      </rPr>
      <t xml:space="preserve">DS-3230 </t>
    </r>
    <r>
      <rPr>
        <rFont val="Arial"/>
        <color rgb="FF1F1F1F"/>
        <sz val="8.0"/>
      </rPr>
      <t xml:space="preserve">
</t>
    </r>
    <r>
      <rPr>
        <rFont val="Arial"/>
        <color rgb="FF6AA84F"/>
        <sz val="8.0"/>
      </rPr>
      <t xml:space="preserve">Fixing the Single Button Related findings in DS repository. </t>
    </r>
    <r>
      <rPr>
        <rFont val="Arial"/>
        <color rgb="FF6AA84F"/>
        <sz val="8.0"/>
        <u/>
      </rPr>
      <t xml:space="preserve">DS-3220 </t>
    </r>
    <r>
      <rPr>
        <rFont val="Arial"/>
        <color rgb="FF6AA84F"/>
        <sz val="8.0"/>
      </rPr>
      <t xml:space="preserve">
Updating the missign items Guideline tab in Documentation </t>
    </r>
    <r>
      <rPr>
        <rFont val="Arial"/>
        <color rgb="FF6AA84F"/>
        <sz val="8.0"/>
        <u/>
      </rPr>
      <t xml:space="preserve">DT-20497 </t>
    </r>
    <r>
      <rPr>
        <rFont val="Arial"/>
        <color rgb="FF6AA84F"/>
        <sz val="8.0"/>
      </rPr>
      <t xml:space="preserve">
Provide beahviors and Examples for Multi Select Component </t>
    </r>
    <r>
      <rPr>
        <rFont val="Arial"/>
        <color rgb="FF6AA84F"/>
        <sz val="8.0"/>
        <u/>
      </rPr>
      <t>DT-19178</t>
    </r>
  </si>
  <si>
    <t>Fixing QA and UAT Camp Findings for Sidebar v2 - DS-3254 
Releasing Create Button in Aristo Repository - DS-3255 
Completing Documentations for Form Status, Onpage Message and Toaster - DT-20060 DT-20062  DT-20058</t>
  </si>
  <si>
    <r>
      <rPr>
        <rFont val="arial, sans, sans-serif"/>
        <color rgb="FF38761D"/>
        <sz val="8.0"/>
      </rPr>
      <t xml:space="preserve">Checking updated writings and behaviors in Sidebar v2: </t>
    </r>
    <r>
      <rPr>
        <rFont val="arial, sans, sans-serif"/>
        <color rgb="FF38761D"/>
        <sz val="8.0"/>
        <u/>
      </rPr>
      <t>DS-3350</t>
    </r>
    <r>
      <rPr>
        <rFont val="arial, sans, sans-serif"/>
        <color rgb="FF38761D"/>
        <sz val="8.0"/>
        <u/>
      </rPr>
      <t xml:space="preserve">
</t>
    </r>
    <r>
      <rPr>
        <rFont val="arial, sans, sans-serif"/>
        <color rgb="FF38761D"/>
        <sz val="8.0"/>
      </rPr>
      <t xml:space="preserve">Preparing the Create Button for Release: </t>
    </r>
    <r>
      <rPr>
        <rFont val="arial, sans, sans-serif"/>
        <color rgb="FF38761D"/>
        <sz val="8.0"/>
        <u/>
      </rPr>
      <t>DS-3356</t>
    </r>
    <r>
      <rPr>
        <rFont val="arial, sans, sans-serif"/>
        <color rgb="FF38761D"/>
        <sz val="8.0"/>
      </rPr>
      <t xml:space="preserve">, </t>
    </r>
    <r>
      <rPr>
        <rFont val="arial, sans, sans-serif"/>
        <color rgb="FF38761D"/>
        <sz val="8.0"/>
        <u/>
      </rPr>
      <t>DS-3358</t>
    </r>
    <r>
      <rPr>
        <rFont val="arial, sans, sans-serif"/>
        <color rgb="FF38761D"/>
        <sz val="8.0"/>
        <u/>
      </rPr>
      <t xml:space="preserve">
</t>
    </r>
    <r>
      <rPr>
        <rFont val="arial, sans, sans-serif"/>
        <color rgb="FF38761D"/>
        <sz val="8.0"/>
      </rPr>
      <t xml:space="preserve">Finishing the documentations for listed component: </t>
    </r>
    <r>
      <rPr>
        <rFont val="arial, sans, sans-serif"/>
        <color rgb="FF38761D"/>
        <sz val="8.0"/>
        <u/>
      </rPr>
      <t>DT-20936</t>
    </r>
    <r>
      <rPr>
        <rFont val="arial, sans, sans-serif"/>
        <color rgb="FF38761D"/>
        <sz val="8.0"/>
      </rPr>
      <t xml:space="preserve">, </t>
    </r>
    <r>
      <rPr>
        <rFont val="arial, sans, sans-serif"/>
        <color rgb="FF38761D"/>
        <sz val="8.0"/>
        <u/>
      </rPr>
      <t>DT-21068</t>
    </r>
    <r>
      <rPr>
        <rFont val="arial, sans, sans-serif"/>
        <color rgb="FF38761D"/>
        <sz val="8.0"/>
      </rPr>
      <t xml:space="preserve">, </t>
    </r>
    <r>
      <rPr>
        <rFont val="arial, sans, sans-serif"/>
        <color rgb="FF38761D"/>
        <sz val="8.0"/>
        <u/>
      </rPr>
      <t>DT-20075</t>
    </r>
    <r>
      <rPr>
        <rFont val="arial, sans, sans-serif"/>
        <color rgb="FF38761D"/>
        <sz val="8.0"/>
      </rPr>
      <t xml:space="preserve">, </t>
    </r>
    <r>
      <rPr>
        <rFont val="arial, sans, sans-serif"/>
        <color rgb="FF38761D"/>
        <sz val="8.0"/>
        <u/>
      </rPr>
      <t>DT-20932</t>
    </r>
    <r>
      <rPr>
        <rFont val="arial, sans, sans-serif"/>
        <color rgb="FF38761D"/>
        <sz val="8.0"/>
      </rPr>
      <t xml:space="preserve">, </t>
    </r>
    <r>
      <rPr>
        <rFont val="arial, sans, sans-serif"/>
        <color rgb="FF38761D"/>
        <sz val="8.0"/>
        <u/>
      </rPr>
      <t>DT-20934</t>
    </r>
  </si>
  <si>
    <r>
      <rPr>
        <rFont val="arial, sans, sans-serif"/>
        <color rgb="FF38761D"/>
        <sz val="8.0"/>
      </rPr>
      <t xml:space="preserve">Apply Sidebar related changes in Aristo: </t>
    </r>
    <r>
      <rPr>
        <rFont val="arial, sans, sans-serif"/>
        <color rgb="FF38761D"/>
        <sz val="8.0"/>
        <u/>
      </rPr>
      <t>DS-3397</t>
    </r>
    <r>
      <rPr>
        <rFont val="arial, sans, sans-serif"/>
        <color rgb="FF38761D"/>
        <sz val="8.0"/>
      </rPr>
      <t xml:space="preserve">
Release Button v2 in Web Push Repository: </t>
    </r>
    <r>
      <rPr>
        <rFont val="arial, sans, sans-serif"/>
        <color rgb="FF38761D"/>
        <sz val="8.0"/>
        <u/>
      </rPr>
      <t>DS-3403</t>
    </r>
    <r>
      <rPr>
        <rFont val="arial, sans, sans-serif"/>
        <color rgb="FF38761D"/>
        <sz val="8.0"/>
      </rPr>
      <t xml:space="preserve">
Complete Documentations for the listed components: </t>
    </r>
    <r>
      <rPr>
        <rFont val="arial, sans, sans-serif"/>
        <color rgb="FF38761D"/>
        <sz val="8.0"/>
        <u/>
      </rPr>
      <t>DT-21064</t>
    </r>
    <r>
      <rPr>
        <rFont val="arial, sans, sans-serif"/>
        <color rgb="FF38761D"/>
        <sz val="8.0"/>
      </rPr>
      <t xml:space="preserve">. </t>
    </r>
    <r>
      <rPr>
        <rFont val="arial, sans, sans-serif"/>
        <color rgb="FF38761D"/>
        <sz val="8.0"/>
        <u/>
      </rPr>
      <t>DT-21074</t>
    </r>
    <r>
      <rPr>
        <rFont val="arial, sans, sans-serif"/>
        <color rgb="FF38761D"/>
        <sz val="8.0"/>
      </rPr>
      <t xml:space="preserve">. </t>
    </r>
    <r>
      <rPr>
        <rFont val="arial, sans, sans-serif"/>
        <color rgb="FF38761D"/>
        <sz val="8.0"/>
        <u/>
      </rPr>
      <t>DT-21070</t>
    </r>
  </si>
  <si>
    <r>
      <rPr>
        <rFont val="arial, sans, sans-serif"/>
        <color rgb="FFCC0000"/>
        <sz val="8.0"/>
      </rPr>
      <t>Complete Migration in WhatsApp DS-3401</t>
    </r>
    <r>
      <rPr>
        <rFont val="arial, sans, sans-serif"/>
        <color rgb="FF38761D"/>
        <sz val="8.0"/>
      </rPr>
      <t xml:space="preserve">
Providing preselected functionality in Data Table DS-3057
Completing the listed documentations DT-21361 DT-21349 </t>
    </r>
    <r>
      <rPr>
        <rFont val="arial, sans, sans-serif"/>
        <color rgb="FF38761D"/>
        <sz val="8.0"/>
        <u/>
      </rPr>
      <t>DT-21351</t>
    </r>
  </si>
  <si>
    <t>Sprint goals efforts</t>
  </si>
  <si>
    <t>Sprint goals KR efforts</t>
  </si>
  <si>
    <t>Devs</t>
  </si>
  <si>
    <t>Alp Senel</t>
  </si>
  <si>
    <t>Sprint Goal Contribution</t>
  </si>
  <si>
    <t>DS-2445</t>
  </si>
  <si>
    <t>DS-2698</t>
  </si>
  <si>
    <t>DS-2955</t>
  </si>
  <si>
    <t>DS-3052</t>
  </si>
  <si>
    <t>DS-3078</t>
  </si>
  <si>
    <t>DS-3203</t>
  </si>
  <si>
    <t>DS-3255</t>
  </si>
  <si>
    <t>DS-3358</t>
  </si>
  <si>
    <t>Emrah Polatcan</t>
  </si>
  <si>
    <t>Julia Lopatka</t>
  </si>
  <si>
    <t>DS-2618</t>
  </si>
  <si>
    <t>DS-2448</t>
  </si>
  <si>
    <t>DS-2728</t>
  </si>
  <si>
    <t>DS-2308</t>
  </si>
  <si>
    <r>
      <rPr>
        <rFont val="arial,sans,sans-serif"/>
        <color rgb="FF1155CC"/>
        <u/>
      </rPr>
      <t>DS-2886</t>
    </r>
    <r>
      <rPr>
        <rFont val="arial,sans,sans-serif"/>
      </rPr>
      <t xml:space="preserve">, </t>
    </r>
    <r>
      <rPr>
        <rFont val="arial,sans,sans-serif"/>
        <color rgb="FF1155CC"/>
        <u/>
      </rPr>
      <t>DS-2877</t>
    </r>
  </si>
  <si>
    <t>DS-2853</t>
  </si>
  <si>
    <t>DS-2919</t>
  </si>
  <si>
    <t>DS-2982</t>
  </si>
  <si>
    <t>DS-3128</t>
  </si>
  <si>
    <t>DS-3166</t>
  </si>
  <si>
    <r>
      <rPr>
        <rFont val="&quot;Google Sans&quot;, Roboto, sans-serif"/>
        <color rgb="FF1155CC"/>
        <sz val="9.0"/>
        <u/>
      </rPr>
      <t>DS-3206</t>
    </r>
    <r>
      <rPr>
        <rFont val="&quot;Google Sans&quot;, Roboto, sans-serif"/>
        <color rgb="FF1F1F1F"/>
        <sz val="9.0"/>
        <u/>
      </rPr>
      <t xml:space="preserve">, </t>
    </r>
    <r>
      <rPr>
        <rFont val="&quot;Google Sans&quot;, Roboto, sans-serif"/>
        <color rgb="FF1155CC"/>
        <sz val="9.0"/>
        <u/>
      </rPr>
      <t>DS-3202</t>
    </r>
  </si>
  <si>
    <t>DS-3220</t>
  </si>
  <si>
    <t>DS-3356</t>
  </si>
  <si>
    <t>DS-3403</t>
  </si>
  <si>
    <t>DS-3057</t>
  </si>
  <si>
    <t>Andrey Sukhin</t>
  </si>
  <si>
    <t>DS-2400</t>
  </si>
  <si>
    <r>
      <rPr>
        <rFont val="&quot;Google Sans&quot;, Roboto, sans-serif"/>
        <color rgb="FF1155CC"/>
        <sz val="10.0"/>
        <u/>
      </rPr>
      <t>DS-2696</t>
    </r>
    <r>
      <rPr>
        <rFont val="&quot;Google Sans&quot;, Roboto, sans-serif"/>
        <color rgb="FF000000"/>
        <sz val="10.0"/>
      </rPr>
      <t xml:space="preserve">, </t>
    </r>
    <r>
      <rPr>
        <rFont val="&quot;Google Sans&quot;, Roboto, sans-serif"/>
        <color rgb="FF1155CC"/>
        <sz val="10.0"/>
        <u/>
      </rPr>
      <t>DS-2655</t>
    </r>
  </si>
  <si>
    <r>
      <rPr>
        <color rgb="FF1155CC"/>
        <u/>
      </rPr>
      <t>DS-2752</t>
    </r>
    <r>
      <rPr/>
      <t xml:space="preserve">,  </t>
    </r>
    <r>
      <rPr>
        <color rgb="FF1155CC"/>
        <u/>
      </rPr>
      <t>DS-2756</t>
    </r>
  </si>
  <si>
    <t>DS-2760</t>
  </si>
  <si>
    <r>
      <rPr>
        <rFont val="arial,sans,sans-serif"/>
        <color rgb="FF1155CC"/>
        <u/>
      </rPr>
      <t>DS-2764</t>
    </r>
    <r>
      <rPr>
        <rFont val="arial,sans,sans-serif"/>
      </rPr>
      <t xml:space="preserve">, </t>
    </r>
    <r>
      <rPr>
        <rFont val="arial,sans,sans-serif"/>
        <color rgb="FF1155CC"/>
        <u/>
      </rPr>
      <t>DS-2815</t>
    </r>
  </si>
  <si>
    <t>DS-2768</t>
  </si>
  <si>
    <t>DS-2921</t>
  </si>
  <si>
    <t>DS-2939</t>
  </si>
  <si>
    <r>
      <rPr>
        <color rgb="FF1155CC"/>
        <u/>
      </rPr>
      <t>DS-3010</t>
    </r>
    <r>
      <rPr/>
      <t xml:space="preserve">, </t>
    </r>
    <r>
      <rPr>
        <color rgb="FF1155CC"/>
        <u/>
      </rPr>
      <t>DS-2981</t>
    </r>
  </si>
  <si>
    <t>DS-3051</t>
  </si>
  <si>
    <t>DS-3062</t>
  </si>
  <si>
    <t>DS-3116</t>
  </si>
  <si>
    <t>DS-3018</t>
  </si>
  <si>
    <r>
      <rPr>
        <rFont val="&quot;Google Sans&quot;, Roboto, sans-serif"/>
        <color rgb="FF1155CC"/>
        <sz val="9.0"/>
        <u/>
      </rPr>
      <t>DS-3208</t>
    </r>
    <r>
      <rPr>
        <rFont val="&quot;Google Sans&quot;, Roboto, sans-serif"/>
        <sz val="9.0"/>
      </rPr>
      <t xml:space="preserve"> </t>
    </r>
    <r>
      <rPr>
        <rFont val="&quot;Google Sans&quot;, Roboto, sans-serif"/>
        <color rgb="FF1155CC"/>
        <sz val="9.0"/>
        <u/>
      </rPr>
      <t xml:space="preserve">DS-3212 </t>
    </r>
  </si>
  <si>
    <t>DS-3230</t>
  </si>
  <si>
    <t>DS-3254</t>
  </si>
  <si>
    <t>DS-3350</t>
  </si>
  <si>
    <t>DS-3397</t>
  </si>
  <si>
    <t>DS-3401</t>
  </si>
  <si>
    <t>Designers</t>
  </si>
  <si>
    <t>Julide Erdogan</t>
  </si>
  <si>
    <t>DT-15651</t>
  </si>
  <si>
    <t>DT-15808</t>
  </si>
  <si>
    <t>DT-14773</t>
  </si>
  <si>
    <t>DT-16204</t>
  </si>
  <si>
    <t>DT-16860</t>
  </si>
  <si>
    <t>DT-16649</t>
  </si>
  <si>
    <t>DT-17586</t>
  </si>
  <si>
    <t>DT-1785</t>
  </si>
  <si>
    <t>DT-19099</t>
  </si>
  <si>
    <t>DT-20111</t>
  </si>
  <si>
    <t>DT-20497</t>
  </si>
  <si>
    <t>DT-20060</t>
  </si>
  <si>
    <r>
      <rPr>
        <rFont val="arial,sans,sans-serif"/>
        <color rgb="FF1155CC"/>
        <u/>
      </rPr>
      <t>DT-20936</t>
    </r>
    <r>
      <rPr>
        <rFont val="arial,sans,sans-serif"/>
      </rPr>
      <t xml:space="preserve">, </t>
    </r>
    <r>
      <rPr>
        <rFont val="arial,sans,sans-serif"/>
        <color rgb="FF1155CC"/>
        <u/>
      </rPr>
      <t>DT-20934</t>
    </r>
  </si>
  <si>
    <t>DT-21070</t>
  </si>
  <si>
    <t>DT-21351</t>
  </si>
  <si>
    <t>Tarikul islam</t>
  </si>
  <si>
    <t>DT-15652</t>
  </si>
  <si>
    <t>DT-15809</t>
  </si>
  <si>
    <t>DT-16847</t>
  </si>
  <si>
    <t>DT-17142</t>
  </si>
  <si>
    <t>DT-17348</t>
  </si>
  <si>
    <t>DT-17757</t>
  </si>
  <si>
    <t>DT-18458</t>
  </si>
  <si>
    <t>DT-17857</t>
  </si>
  <si>
    <t>DT-17851</t>
  </si>
  <si>
    <t>DT-20062</t>
  </si>
  <si>
    <t>DT-20932</t>
  </si>
  <si>
    <t>DT-21074</t>
  </si>
  <si>
    <t>DT-21361</t>
  </si>
  <si>
    <t>Cagdas Yildirim</t>
  </si>
  <si>
    <t>DT-18462</t>
  </si>
  <si>
    <t>Cagla Col</t>
  </si>
  <si>
    <t>DT-16281</t>
  </si>
  <si>
    <t>DT-16575</t>
  </si>
  <si>
    <t>DT-17346</t>
  </si>
  <si>
    <t>DT-17728</t>
  </si>
  <si>
    <t>DT-17739</t>
  </si>
  <si>
    <t>DT-17736</t>
  </si>
  <si>
    <t>DT-19101</t>
  </si>
  <si>
    <t>DT-17849</t>
  </si>
  <si>
    <t>DT-19931</t>
  </si>
  <si>
    <t>DT-19178</t>
  </si>
  <si>
    <t>DT-20058</t>
  </si>
  <si>
    <r>
      <rPr>
        <color rgb="FF1155CC"/>
        <u/>
      </rPr>
      <t>DT-21068</t>
    </r>
    <r>
      <rPr/>
      <t xml:space="preserve"> </t>
    </r>
    <r>
      <rPr>
        <color rgb="FF1155CC"/>
        <u/>
      </rPr>
      <t>DT-20075</t>
    </r>
  </si>
  <si>
    <t>DT-21064</t>
  </si>
  <si>
    <t>DT-21349</t>
  </si>
  <si>
    <t>Ummu Kaya</t>
  </si>
  <si>
    <t>QAs</t>
  </si>
  <si>
    <t>Ahmet Toktas</t>
  </si>
  <si>
    <t>Gulcin Kulunk</t>
  </si>
  <si>
    <t>25.12-08.01</t>
  </si>
  <si>
    <t>08.01-22.01</t>
  </si>
  <si>
    <t>22.01-05.02</t>
  </si>
  <si>
    <t>05.02-20.02</t>
  </si>
  <si>
    <t>20.02-04.03</t>
  </si>
  <si>
    <t>04.03-18.03</t>
  </si>
  <si>
    <t>18.03-01.04</t>
  </si>
  <si>
    <t>01.04-15.04</t>
  </si>
  <si>
    <t>15.04-29.04</t>
  </si>
  <si>
    <t>29.04-13.05</t>
  </si>
  <si>
    <t>13.05-27.05</t>
  </si>
  <si>
    <t>27.05-10.06</t>
  </si>
  <si>
    <t>10.06-24.06</t>
  </si>
  <si>
    <t>24.06-08.07</t>
  </si>
  <si>
    <t>08.07-22.07</t>
  </si>
  <si>
    <t>22.07-05.08</t>
  </si>
  <si>
    <t>06.08-16.08</t>
  </si>
  <si>
    <t>16.08-02.09</t>
  </si>
  <si>
    <t>02.08-14.09</t>
  </si>
  <si>
    <t>16.09-30.09</t>
  </si>
  <si>
    <t>#7</t>
  </si>
  <si>
    <t>#1</t>
  </si>
  <si>
    <t>#2</t>
  </si>
  <si>
    <t>#3</t>
  </si>
  <si>
    <t>#4</t>
  </si>
  <si>
    <t>#5</t>
  </si>
  <si>
    <t>#6</t>
  </si>
  <si>
    <t>Cartel#17|After Party🪅</t>
  </si>
  <si>
    <t>Cartel#18|Expo=Dollar(0)💸</t>
  </si>
  <si>
    <t>Cartel#19|Dümdüz bir sprint😰</t>
  </si>
  <si>
    <t>Cartel#20|Pixel Pixel Gozler🤪</t>
  </si>
  <si>
    <t>Cartel#21|allstar-25💦</t>
  </si>
  <si>
    <t>Turkcell smart recomender issue must be solve</t>
  </si>
  <si>
    <t>Events &amp; Attributes Done Forever</t>
  </si>
  <si>
    <t>Android Event Attributes Sync</t>
  </si>
  <si>
    <t>iOS + Andorid Release With Healthy Flows</t>
  </si>
  <si>
    <t>Sdk lifecycles done</t>
  </si>
  <si>
    <t xml:space="preserve">Config Done-Middle SDK </t>
  </si>
  <si>
    <t>[iOS] Events Middle SDK</t>
  </si>
  <si>
    <t>SDK Disabled key is not working issue must be solved</t>
  </si>
  <si>
    <t>[iOS] Events Sync Middle SDK and flushing &amp; android all released</t>
  </si>
  <si>
    <t>Removing Bridging Header</t>
  </si>
  <si>
    <t>Optimizing SDK to Lower App Startup Durations</t>
  </si>
  <si>
    <t xml:space="preserve">iOS events and android api parts </t>
  </si>
  <si>
    <t>iOS user attr and events and config and err handler and android err handler events part</t>
  </si>
  <si>
    <t xml:space="preserve">rich push and session start issues resolve, lets go
</t>
  </si>
  <si>
    <t>New Flushing Improvements</t>
  </si>
  <si>
    <t>Flush Ends Totally from SDK side, ready for QA camp from SDK side and Expo POC done to decide to have this product or not</t>
  </si>
  <si>
    <t>Inapp logic data commection over flush system KR</t>
  </si>
  <si>
    <t>Pixeli verelim, Enhanced Tempaltes ucsun, acık olan onlarca bug kapatılsın</t>
  </si>
  <si>
    <t>Abdurrahman Sanli</t>
  </si>
  <si>
    <t>Melih Karadaş</t>
  </si>
  <si>
    <t>Alper Önal</t>
  </si>
  <si>
    <t>Ercüment Ölçer</t>
  </si>
  <si>
    <t>Bedir Aktaş</t>
  </si>
  <si>
    <t>Şafak Can Baş</t>
  </si>
  <si>
    <t>Betül Arı</t>
  </si>
  <si>
    <t>Ayberk Ersoy</t>
  </si>
  <si>
    <t>Individual Done Rate</t>
  </si>
  <si>
    <t>Mobile West</t>
  </si>
  <si>
    <t>22.12-04.01</t>
  </si>
  <si>
    <t>05.01-18.01</t>
  </si>
  <si>
    <t>18.01-01.02</t>
  </si>
  <si>
    <t>02.02-15.02</t>
  </si>
  <si>
    <t>16.02-29.02</t>
  </si>
  <si>
    <t>01.03-14.03</t>
  </si>
  <si>
    <t>15.03-28.03</t>
  </si>
  <si>
    <t>29.03-14.04</t>
  </si>
  <si>
    <t>15.04-25.04</t>
  </si>
  <si>
    <t>26.04-09.05</t>
  </si>
  <si>
    <t>10.05 - 23.05</t>
  </si>
  <si>
    <t>24.05-06.06</t>
  </si>
  <si>
    <t>07.06-24.06</t>
  </si>
  <si>
    <t>24.06-04.07</t>
  </si>
  <si>
    <t>05.07-18.07</t>
  </si>
  <si>
    <t>19.07-01.08</t>
  </si>
  <si>
    <t>02.08-15.08</t>
  </si>
  <si>
    <t>16.08-29.08</t>
  </si>
  <si>
    <t>30.08-12.09</t>
  </si>
  <si>
    <t>13.09-26.09</t>
  </si>
  <si>
    <t>27.09-10.10</t>
  </si>
  <si>
    <t>11.10-24.10</t>
  </si>
  <si>
    <t>#8</t>
  </si>
  <si>
    <t>#9</t>
  </si>
  <si>
    <t>#10</t>
  </si>
  <si>
    <t>#11</t>
  </si>
  <si>
    <t>#12</t>
  </si>
  <si>
    <t>#13</t>
  </si>
  <si>
    <t>#14</t>
  </si>
  <si>
    <t>West | Segment Kurdele 🎀  #15</t>
  </si>
  <si>
    <t>West#16|Happy Retreats🤡</t>
  </si>
  <si>
    <t>West#17|Karma is real🔮</t>
  </si>
  <si>
    <t>West#18|Kovboy Ahmet🗺️🔫</t>
  </si>
  <si>
    <t>West#19|Terapi🤲🏽/Travma🤕</t>
  </si>
  <si>
    <t>West#20|GüneşliGünler🌞</t>
  </si>
  <si>
    <t>West#21|Ahmetsiz Dailys📅🌜🦅</t>
  </si>
  <si>
    <t>Test Device live</t>
  </si>
  <si>
    <t>AI to Text live</t>
  </si>
  <si>
    <t>Event Param live</t>
  </si>
  <si>
    <t>Settings'in seçilen tableri (push channels dışındaki tüm tabler) test partnerinde live</t>
  </si>
  <si>
    <t>- Settings tamamı, FCM dahil flagli Orkunbites'ta live</t>
  </si>
  <si>
    <t>FCM/Settings beta partner için canlıda</t>
  </si>
  <si>
    <t>Test Device Grouping Beta'da (Test partners + hepsiburada?)</t>
  </si>
  <si>
    <t>FCM Unit Testleri, Push Logic Improvementı vs. Majör Fixi Kalmaması (Bayram Dönüşü Pzt, Salı canlıya çıkacak halde)</t>
  </si>
  <si>
    <t xml:space="preserve">FCM &amp; Settings Canlıda
</t>
  </si>
  <si>
    <t>FCM Live -Segment Migration Rules ok -Segment FE on App Push at least be ready</t>
  </si>
  <si>
    <t>Segment on HB Live</t>
  </si>
  <si>
    <t>FCM v2, no leftovers from KRs!</t>
  </si>
  <si>
    <t>UX show! UX ler bitecektir.</t>
  </si>
  <si>
    <t>Segment be ready for everyone</t>
  </si>
  <si>
    <t>segment be ready, no more code left, ready for deploy</t>
  </si>
  <si>
    <t>SEGMENT CANLI + ufak bir sertifika yok etmece</t>
  </si>
  <si>
    <t>Segment Last Changes, Currency Needs</t>
  </si>
  <si>
    <t>Enhanced Live Preview to be ready, Certificate via API for partner Ibood, App Push Improvement Points</t>
  </si>
  <si>
    <t>KR focus for App Push DB start to KR with first task and Dynamic Expression for HepsiBurada (development done)</t>
  </si>
  <si>
    <t>Expression on push live + App Push KR backend First Sprint tasks fully be developed</t>
  </si>
  <si>
    <t>Segment Issue Jobs to be live + KR App Push Progress as planned over KR Groom</t>
  </si>
  <si>
    <t>Yavuz Dalkılıç</t>
  </si>
  <si>
    <t>Uğur Cibaroğlu</t>
  </si>
  <si>
    <t>Ahmet Furtun</t>
  </si>
  <si>
    <t>Gökhan Atas</t>
  </si>
  <si>
    <t>Mansur Ekici</t>
  </si>
  <si>
    <t>Ahmet Can Ergiyen</t>
  </si>
  <si>
    <t>Hümeyra Doğuş</t>
  </si>
  <si>
    <t>Aziz Karayel</t>
  </si>
  <si>
    <t>Individual Commit Rate</t>
  </si>
  <si>
    <t>Design Metrics</t>
  </si>
  <si>
    <t>Total</t>
  </si>
  <si>
    <t>Done</t>
  </si>
  <si>
    <t>Mobile East</t>
  </si>
  <si>
    <t>14.03-28.03</t>
  </si>
  <si>
    <t>10.05-23.05</t>
  </si>
  <si>
    <t>05.07-19.07</t>
  </si>
  <si>
    <t>19.07-02.08</t>
  </si>
  <si>
    <t>02.08-16.08</t>
  </si>
  <si>
    <t>16.08-30.08</t>
  </si>
  <si>
    <t>30.08-13.09</t>
  </si>
  <si>
    <t>13.09-27.09</t>
  </si>
  <si>
    <t>30.09-11.10</t>
  </si>
  <si>
    <t>#15</t>
  </si>
  <si>
    <t>#16</t>
  </si>
  <si>
    <t>#17</t>
  </si>
  <si>
    <t>#18</t>
  </si>
  <si>
    <t xml:space="preserve">3 enhenced template must be live! </t>
  </si>
  <si>
    <t xml:space="preserve">3 enhenced template must be releasable! </t>
  </si>
  <si>
    <t>Responsive 3 Templates on Live</t>
  </si>
  <si>
    <t>- DataTable v2 &gt; Waiting for Release 
- Lead export canlıda</t>
  </si>
  <si>
    <t xml:space="preserve">Enhanced Live Preview and Social Proof Researches to be Completed - MultiSelect task &amp; Datatable Expandable
</t>
  </si>
  <si>
    <t>- V2 Transition Completed</t>
  </si>
  <si>
    <t>Completing all remaining security tasks and reproduceable bugs marked.</t>
  </si>
  <si>
    <t>BUGLARI DELIVER ET LUTFEN</t>
  </si>
  <si>
    <t>Social Proof &amp; Live Preview Yeşillendir</t>
  </si>
  <si>
    <t>Social Proof Yeşillendir</t>
  </si>
  <si>
    <t>Get rid of dependencies and blockers!!!</t>
  </si>
  <si>
    <t>Ending the survey drama &amp; Relaxing DB &amp; Completing FE Security</t>
  </si>
  <si>
    <t>Survey Ready to Release Group Level Access Parts Ready to Release.</t>
  </si>
  <si>
    <t>GLA Flagged Tasks</t>
  </si>
  <si>
    <t>GLA Tasks - Green</t>
  </si>
  <si>
    <t>GLA flagliler yeşil</t>
  </si>
  <si>
    <t>GLA ıvır zıvırı yeşilli</t>
  </si>
  <si>
    <t>Geriden kalan KR parcacıkları olmasın; GLA &amp; Enhanced &amp; UninstallFCM</t>
  </si>
  <si>
    <t>Play for future: Next 2 KRs Research to be done and ready for KR Groom + Fixing Kube Issues for Tests</t>
  </si>
  <si>
    <t>Finish Security, Finish Bugs that are marked totally</t>
  </si>
  <si>
    <t>2 partner request done, Click Data KR progress in the set of KR Groom</t>
  </si>
  <si>
    <t>Mert Onur Yıldırım</t>
  </si>
  <si>
    <t>Ömer Büyükçelik</t>
  </si>
  <si>
    <t>Bülent Tayfun</t>
  </si>
  <si>
    <t>Mert Yıldırım</t>
  </si>
  <si>
    <t>Gamze Özavcı</t>
  </si>
  <si>
    <t>Eren Şentürk</t>
  </si>
  <si>
    <t>DataForce - Korriban</t>
  </si>
  <si>
    <t>28.12-10.01</t>
  </si>
  <si>
    <t>11.01-24.01</t>
  </si>
  <si>
    <t>08.02-21.02</t>
  </si>
  <si>
    <t>22.02-06.03</t>
  </si>
  <si>
    <t>07.03-20.03</t>
  </si>
  <si>
    <t>25.04-08.05</t>
  </si>
  <si>
    <t>6.06-26.06</t>
  </si>
  <si>
    <t>08.08-21.08</t>
  </si>
  <si>
    <t>Farewell Scala Dad 🎄</t>
  </si>
  <si>
    <t>24Q1K2 - Peak Shining Dance</t>
  </si>
  <si>
    <t>24Q1K3 - this is bur(R)</t>
  </si>
  <si>
    <t>24Q1K4 - D1R</t>
  </si>
  <si>
    <t>24Q1K5 - Le QArasan</t>
  </si>
  <si>
    <t>24Q1K6 - Sezeysi</t>
  </si>
  <si>
    <t>24Q1K7 - Ananas Semsiye Kabak</t>
  </si>
  <si>
    <t>24Q2K1 - Endless Meetings</t>
  </si>
  <si>
    <t>24Q2K2 - 7 Yetmez 8 Olsun</t>
  </si>
  <si>
    <t>24Q2K3 - 1 Ispartalı</t>
  </si>
  <si>
    <t>24Q2K4 - Kafa Kalmadı</t>
  </si>
  <si>
    <t>24Q2K5 - Şaka Mı!!!???</t>
  </si>
  <si>
    <t>24Q2K6 - To Be Groomed</t>
  </si>
  <si>
    <t>24Q3K1 - Nasil Yeneceksin</t>
  </si>
  <si>
    <t>24Q3K2 - Yenilik Ateşi</t>
  </si>
  <si>
    <t xml:space="preserve">24Q3K3 - Hoşgeldin Bilal 🚀🤸‍♂️ </t>
  </si>
  <si>
    <t>24Q3K4 - Sıfırdan Sonsuza</t>
  </si>
  <si>
    <t>24Q3K5 - Fallen Leaf Search</t>
  </si>
  <si>
    <t>24Q3K6 - Wedding Break</t>
  </si>
  <si>
    <t>&lt;INPUT-E&gt;</t>
  </si>
  <si>
    <t>&lt;INPUT&gt;</t>
  </si>
  <si>
    <t>Locale KR QA camp readiness</t>
  </si>
  <si>
    <t>Completing Locale KR QA Camp and Completing all SIM tasks</t>
  </si>
  <si>
    <t xml:space="preserve">Starting research for Locale Limitations, PCD API and SR API latency/load problems.
</t>
  </si>
  <si>
    <t xml:space="preserve">Completing 300+ Locale tech design and initiating Variant Management research.
</t>
  </si>
  <si>
    <t>Completing variant management tech design and initializing category and sub catalog collection research.</t>
  </si>
  <si>
    <t>Finalizing catalog schema research KR.</t>
  </si>
  <si>
    <t>Grand opening of Locale KR and fixing XML Parser Mysql Usage related problems.</t>
  </si>
  <si>
    <t>Preparing catalog integration KR development plan and serving product attributes via GSS</t>
  </si>
  <si>
    <t>Creating Micro Frontend Application for Catalog Integration Wizard and migrating Product Attributes to GSS</t>
  </si>
  <si>
    <t>Completing Introduction and Business Details pages of Catalog Wizard and developing Dynamic Filters without System Rules</t>
  </si>
  <si>
    <t>Completing XML Integration Drraft Mode and Catalog Integration Wizard Locale Page</t>
  </si>
  <si>
    <t>XML multicurrency support and Completing Product Attribute Page &amp; Catalog Intro of Wizard.</t>
  </si>
  <si>
    <t>Completing Onboarding Wizard &gt; XML Settings.</t>
  </si>
  <si>
    <t>Completing XML Access Auth and Product Attributes Mapping pages on Catalog Integration Wizard</t>
  </si>
  <si>
    <t>Completing Product Attributes Pages for Catalog Integration and Updating Vetro for New Fields</t>
  </si>
  <si>
    <t>Completing Product Attributes Mapping and Integration Status for Catalog Integration Wizard.</t>
  </si>
  <si>
    <t>Completing Data Planning Change Flows.</t>
  </si>
  <si>
    <t>Developing Catalog Integration Change Flows and Completing ES Migration Preparation</t>
  </si>
  <si>
    <t>Completing Change Flows for Catalog Integration Wizard</t>
  </si>
  <si>
    <t>Individual Committed Effort - All</t>
  </si>
  <si>
    <t>abdullah.alrifai</t>
  </si>
  <si>
    <t>Ceren Çakır</t>
  </si>
  <si>
    <t>erhan.tolek</t>
  </si>
  <si>
    <t>Jamil Najafov</t>
  </si>
  <si>
    <t>kadir.pir</t>
  </si>
  <si>
    <t>kasim.temel</t>
  </si>
  <si>
    <t>Murat Cakmak</t>
  </si>
  <si>
    <t>nihad.mammadli</t>
  </si>
  <si>
    <t>Seza Akgün</t>
  </si>
  <si>
    <t>Umut Yasin Colak</t>
  </si>
  <si>
    <t>Yasin Guzel</t>
  </si>
  <si>
    <t>Individual Done Effort - All</t>
  </si>
  <si>
    <t>Sprint Goal Contribution
(Comitted) - All</t>
  </si>
  <si>
    <t>Sprint Goal Contribution
(Delivered) - All</t>
  </si>
  <si>
    <t>All Hands Summary</t>
  </si>
  <si>
    <t>Sprint Goal Achieved (0/1)</t>
  </si>
  <si>
    <t>Team Participation</t>
  </si>
  <si>
    <t>Vikings-WhatsApp</t>
  </si>
  <si>
    <t>29.03 - 25.04</t>
  </si>
  <si>
    <t>26.04 - 09.05</t>
  </si>
  <si>
    <t>26.05 - 24.06</t>
  </si>
  <si>
    <t>24.06 - 04.07</t>
  </si>
  <si>
    <t>05.07 - 19.07</t>
  </si>
  <si>
    <t>20.07 - 01.08</t>
  </si>
  <si>
    <t>02.08 - 16.08</t>
  </si>
  <si>
    <t>16.08 - 30.08</t>
  </si>
  <si>
    <t>02.09 - 12.09</t>
  </si>
  <si>
    <t>13.09 - 26.09</t>
  </si>
  <si>
    <t>27.09 - 10.10</t>
  </si>
  <si>
    <t>WA20: Efexor 75mg 💥</t>
  </si>
  <si>
    <t>WA21: Bjorn the Half Kyrgyz 👶</t>
  </si>
  <si>
    <t xml:space="preserve">WA22: System of a Down 💥        </t>
  </si>
  <si>
    <t>WA23: Hoşgeldin Mertco 🎨</t>
  </si>
  <si>
    <t>WA24: single_ladies.mp4 👯</t>
  </si>
  <si>
    <t>WA25: Hoş geldin Aysun! 🍀</t>
  </si>
  <si>
    <t>WA26: Hayırlı Bayramlar 🍬</t>
  </si>
  <si>
    <t>WA27: Hoş Geldin Ahmet 😀</t>
  </si>
  <si>
    <t>WA28: Uyuya daldım 🐱</t>
  </si>
  <si>
    <t>WA29: Sinan Tatile Çıksın 🌞</t>
  </si>
  <si>
    <t>WA30 - Let's Go Turkey 🇹🇷</t>
  </si>
  <si>
    <t>WA31: Şampiyon Türkiye 🇹🇷 🏆</t>
  </si>
  <si>
    <t xml:space="preserve"> WA32: Tüm 🇰🇷Halkı Davetlidir</t>
  </si>
  <si>
    <t>WA33: No Time To Retreat 🎡</t>
  </si>
  <si>
    <t>WA34: Son yüzük bükücü 💍</t>
  </si>
  <si>
    <t xml:space="preserve"> WA35: Dert Free 🫠</t>
  </si>
  <si>
    <t>WA36 - Hoş Geldin Göktuğ ☄️</t>
  </si>
  <si>
    <t>WA37: Kimin Datası Buuuu!</t>
  </si>
  <si>
    <t>Be Consistent on Overall Analytics, Launch New Segmentation and New Usage Page for All Partners</t>
  </si>
  <si>
    <t>Live Support Video and Document on WhatsApp for VikingsAnkara</t>
  </si>
  <si>
    <t>Releasing Video and Document for All Partners</t>
  </si>
  <si>
    <t>Launch Supporting Video and Document, Update DS Package, and Research for Enigma</t>
  </si>
  <si>
    <t>Launch External Link Tracking with Feature Flag, CI/CD Automation &amp; Media Support Automation, User Testing for Drop and Undelivered Metrics New Design</t>
  </si>
  <si>
    <t>Launch External Link Tracking for VikingsAnkara &amp; External Link Tracking QA Camp &amp; Subscriber Page Discovery</t>
  </si>
  <si>
    <t>- Launch External Link Tracking for VikingsAnkara &amp; External Link Tracking QA Camp
- Increase MPS Limit
- Enigma Transition</t>
  </si>
  <si>
    <t>External Link Tracking QA Camp Fixes &amp; Enigma QA Camp &amp; Live Enigma for Beta Partners</t>
  </si>
  <si>
    <t>External Link Tracking Live &amp; Refined Delivery Insights Research</t>
  </si>
  <si>
    <t>Enigma Live for All Partners &amp; Refined Delivery Insight Live for VikingsAnkara</t>
  </si>
  <si>
    <t xml:space="preserve">Complete Segment, Export and Delivery Pending for Refined Delivery Insight
</t>
  </si>
  <si>
    <t>Refined Delivered Insights KR will be Live for All Partners</t>
  </si>
  <si>
    <t>Eliminate Non-Contracted Message Costs Live for VikingsAnkara &amp; Finalizing Entity Breakdown Design for Usage Analytics</t>
  </si>
  <si>
    <t>QA Camp and Fixes for Eliminate Non-Contracted Message Costs</t>
  </si>
  <si>
    <t>Carousel Template Ready for Development</t>
  </si>
  <si>
    <t>Create a Template with Carousel Template</t>
  </si>
  <si>
    <t xml:space="preserve">Launch a campaign with Carousel Template on VikingsAnkara
</t>
  </si>
  <si>
    <t xml:space="preserve">Campaign Creation and Message Send Live for Vikingsankara
</t>
  </si>
  <si>
    <t>Number of Team Member Participation 
3 Dev, 2 QA, 2 Des</t>
  </si>
  <si>
    <t>Yavuz</t>
  </si>
  <si>
    <t>Sinan</t>
  </si>
  <si>
    <t>Samat</t>
  </si>
  <si>
    <t>Ahmet</t>
  </si>
  <si>
    <t>Shahla</t>
  </si>
  <si>
    <t>Ömer</t>
  </si>
  <si>
    <t>Aydın</t>
  </si>
  <si>
    <t>Mertcan</t>
  </si>
  <si>
    <t>Aslıhan</t>
  </si>
  <si>
    <t>Salimcan</t>
  </si>
  <si>
    <t>Dev Planning Accuracy</t>
  </si>
  <si>
    <t>QA Planning Accuracy</t>
  </si>
  <si>
    <t>Des Planning Accuracy</t>
  </si>
  <si>
    <t>Team Happines</t>
  </si>
  <si>
    <t>Committed Dev Sprint Effort</t>
  </si>
  <si>
    <r>
      <rPr>
        <rFont val="Arial"/>
        <color rgb="FF38761D"/>
      </rPr>
      <t>ux_improvement</t>
    </r>
    <r>
      <rPr>
        <rFont val="Arial"/>
        <color theme="1"/>
      </rPr>
      <t xml:space="preserve"> labeled tasks' comitted effort</t>
    </r>
  </si>
  <si>
    <t>UX İmprovement (committed) percentage</t>
  </si>
  <si>
    <t>Done Dev Sprint Effort</t>
  </si>
  <si>
    <r>
      <rPr>
        <rFont val="Arial"/>
        <color rgb="FF38761D"/>
      </rPr>
      <t>ux_improvement</t>
    </r>
    <r>
      <rPr>
        <rFont val="Arial"/>
        <color theme="1"/>
      </rPr>
      <t xml:space="preserve"> labeled tasks' done effort</t>
    </r>
  </si>
  <si>
    <t>UX İmprovement (done) percentage</t>
  </si>
  <si>
    <t>Vikings - SMS</t>
  </si>
  <si>
    <t>SMS #20</t>
  </si>
  <si>
    <t>SMS #21</t>
  </si>
  <si>
    <t>SMS #22</t>
  </si>
  <si>
    <t>SMS #23</t>
  </si>
  <si>
    <t>SMS #24</t>
  </si>
  <si>
    <t>SMS #25</t>
  </si>
  <si>
    <t>SMS #26</t>
  </si>
  <si>
    <t>SMS #27</t>
  </si>
  <si>
    <t>SMS #28</t>
  </si>
  <si>
    <t>SMS #29</t>
  </si>
  <si>
    <t>SMS #30</t>
  </si>
  <si>
    <t>SMS #31</t>
  </si>
  <si>
    <t>SMS #32</t>
  </si>
  <si>
    <t>SMS #33</t>
  </si>
  <si>
    <t>SMS #34</t>
  </si>
  <si>
    <t>SMS #35</t>
  </si>
  <si>
    <t>SMS #36</t>
  </si>
  <si>
    <t>SMS #37</t>
  </si>
  <si>
    <t>SMS #38</t>
  </si>
  <si>
    <t>SMS #39</t>
  </si>
  <si>
    <t>SMS #40</t>
  </si>
  <si>
    <t>Add-On Structure Live</t>
  </si>
  <si>
    <t>MMS Do List &amp; Design Part</t>
  </si>
  <si>
    <t>MMS Finalization</t>
  </si>
  <si>
    <t>MMS:
Usage Analytics
QA Camp
Preview Improvements</t>
  </si>
  <si>
    <t>- Open MMS Feature via Gachapon Toggle
- MMS QA Camp UX Improvements
- Campaign Prioritization New Sending Structure for SMS</t>
  </si>
  <si>
    <t>Campaign Prioratization Live + Test DONE</t>
  </si>
  <si>
    <t>Enigma</t>
  </si>
  <si>
    <t>Rich Text Input Design Enigma Kalan Tasklar Overall Conversation</t>
  </si>
  <si>
    <t>- Double Opt-in
- Rich Text Input (aka Superinput v2) Support
- Rich Text Input V2 Design &amp; Writing
- MMS image size
- [Enigma-WhatsApp-SMS] Speed optimizations for overall and related analytics</t>
  </si>
  <si>
    <t>- SMS Pending for Delivery
- Pending For Delivery Automation Coverage
- Rich Text Input V2 Unsubscribe Sentence Design
- SMS Drop structure Gonzales API Migration</t>
  </si>
  <si>
    <t>No Goal due to bayram</t>
  </si>
  <si>
    <t>- Set Default MPS for Turkey, UK BR and Thailand Partners
- RTI Implementing Smart Encoding feature
- RTI Implementing Rich Text Input with feature flag
- RTI Implementing Dynamic Attributes feature
- KR Discovery | Silent Hours</t>
  </si>
  <si>
    <t xml:space="preserve">Quiet Hours, RTI Usability Test, [BE], [FE] Overall Conversion Page, RTI | Adding MMS Feature,  </t>
  </si>
  <si>
    <t>Conversion Duration Settings Page Remains, Quiet Hours</t>
  </si>
  <si>
    <t>Improvement of Sinch &amp; Twilio Logs, 
[Research] Analytics API</t>
  </si>
  <si>
    <t>[BE] Analytics API  - Campaign Stats Endpoint, 
[BE] Analytics API  - Infra</t>
  </si>
  <si>
    <t xml:space="preserve">✅ Overall - Analytics API, 
✅ OTP &amp; Transactional API  - Analytics API
✅ Cloud Watch Implementation </t>
  </si>
  <si>
    <t>- Analytics API Automation | Transactional &amp; Verify cases,
- Analytics API Automation | Campaign &amp; Overall cases, 
- Change Infrastructure for New Provider, 
- QA Camp Outputs Issues, [DOC] - Analytics API Support,
- Campaign Analytics Api Validations, 
- [Research] Create New Integration for Infobip</t>
  </si>
  <si>
    <t xml:space="preserve">Team Member Participation </t>
  </si>
  <si>
    <t>İdem</t>
  </si>
  <si>
    <t>Kayahan</t>
  </si>
  <si>
    <t>Barış</t>
  </si>
  <si>
    <t>Deniz</t>
  </si>
  <si>
    <t>Ergin</t>
  </si>
  <si>
    <t>Ozkan</t>
  </si>
  <si>
    <t>Kraken</t>
  </si>
  <si>
    <t>&lt;&lt;&lt;</t>
  </si>
  <si>
    <t>#1 05.01 - 19.01</t>
  </si>
  <si>
    <t>#2 19.01 - 02.02</t>
  </si>
  <si>
    <t>#3 02.02 - 16.02</t>
  </si>
  <si>
    <t>#4 16.02 - 01.03</t>
  </si>
  <si>
    <t>#5 01.03 - 15.03</t>
  </si>
  <si>
    <t>#6 15.03 - 29.03</t>
  </si>
  <si>
    <t>#7 29.03 - 19.04</t>
  </si>
  <si>
    <t>#8 19.04 - 03.05</t>
  </si>
  <si>
    <t>#9 03.05 - 17.05</t>
  </si>
  <si>
    <t>#10 17.05 - 03.06</t>
  </si>
  <si>
    <t>#11 03.06 - 14.06</t>
  </si>
  <si>
    <t>#11 14.06 - 28.06</t>
  </si>
  <si>
    <t>#12 28.06 - 12.07</t>
  </si>
  <si>
    <t>#13 12.07 - 26.07</t>
  </si>
  <si>
    <t>#14 26.07 - 09.08</t>
  </si>
  <si>
    <t>#15 09.08 - 23.08</t>
  </si>
  <si>
    <t>#16 23.08 - 06.09</t>
  </si>
  <si>
    <t>#17 06.09 - 20.09</t>
  </si>
  <si>
    <t>#18 20.09 - 04.10</t>
  </si>
  <si>
    <t>#19 04.10 - 18.10</t>
  </si>
  <si>
    <t>Welcome Berkay, Bye Sezer</t>
  </si>
  <si>
    <t>Highway to Hell #45</t>
  </si>
  <si>
    <t>Tests Ran Away #46</t>
  </si>
  <si>
    <t>Nightmare #47</t>
  </si>
  <si>
    <t>HandEren #48</t>
  </si>
  <si>
    <t>Welcome Mariia and Rahmetul</t>
  </si>
  <si>
    <t>Emre can take 2 more tasks</t>
  </si>
  <si>
    <t>Ceku, Sakız &amp; Sonia #51</t>
  </si>
  <si>
    <t>I am not familiar with this</t>
  </si>
  <si>
    <t>Aziz Yıldırım #53</t>
  </si>
  <si>
    <t>Oppa Jose #54</t>
  </si>
  <si>
    <t>Welcome Çoruh &amp; Lokman</t>
  </si>
  <si>
    <t>Politically Correct #56</t>
  </si>
  <si>
    <t>Let me Test You #57</t>
  </si>
  <si>
    <t>BugZip #58</t>
  </si>
  <si>
    <t>Global Threat #59</t>
  </si>
  <si>
    <t>Return of the Jedi #60</t>
  </si>
  <si>
    <t>Karate Kid #61</t>
  </si>
  <si>
    <t>3 Musketeers #62</t>
  </si>
  <si>
    <t>Much More Better #63</t>
  </si>
  <si>
    <t>Releasable Done Effort</t>
  </si>
  <si>
    <t>Done Development Effort</t>
  </si>
  <si>
    <t>Comitted Releasable Effort</t>
  </si>
  <si>
    <t>Finishing the UI for the integration hub.</t>
  </si>
  <si>
    <t>Finishing the common BE structure for Integration Hub.</t>
  </si>
  <si>
    <t>Completing the Integration Hub BETA.</t>
  </si>
  <si>
    <t>Removing all the blockers to deploy integration hub.</t>
  </si>
  <si>
    <t>Getting the integration hub ready for all beta users.</t>
  </si>
  <si>
    <t>Finishing the webhook KR without Test API.</t>
  </si>
  <si>
    <t>Getting Data Stream KR completed.</t>
  </si>
  <si>
    <t>Finishing the data stream for the BETA partners.</t>
  </si>
  <si>
    <t>Finishing rewrite of the live user sync from Shopify to Insider</t>
  </si>
  <si>
    <t>Finishing UCD to Shopify User Sync Core Structure</t>
  </si>
  <si>
    <t>Finishing Live User Sync + Web Pixel</t>
  </si>
  <si>
    <t>Finish User Sync Tasks</t>
  </si>
  <si>
    <t>Integration Hub Live, User Sync</t>
  </si>
  <si>
    <t>Opening New User Structure to All Partners</t>
  </si>
  <si>
    <t>Finding how to solve App Pixel, Finishing User Sync</t>
  </si>
  <si>
    <t>Moving user sync back to monitoring</t>
  </si>
  <si>
    <t>Moving User Sync KR to Monitoring</t>
  </si>
  <si>
    <t>User Sync Robustness Task</t>
  </si>
  <si>
    <t>Finishing User Sync</t>
  </si>
  <si>
    <t>Finishing Tech Designs for New KR and Doing the Rest of the KR Planning</t>
  </si>
  <si>
    <t>Shipping Plan Accuracy</t>
  </si>
  <si>
    <t># Team Member Participation (2 Des, 6 Dev)</t>
  </si>
  <si>
    <t>Berna Ertenli</t>
  </si>
  <si>
    <t>Melis Çalkıvık</t>
  </si>
  <si>
    <t>Demetrius King</t>
  </si>
  <si>
    <t>Dmitri Kotikov</t>
  </si>
  <si>
    <t>Emre Işık</t>
  </si>
  <si>
    <t>Enes Menekşe</t>
  </si>
  <si>
    <t>Eray Akartuna</t>
  </si>
  <si>
    <t>Maksym Modestov</t>
  </si>
  <si>
    <t>Rahmetullah Yiğit</t>
  </si>
  <si>
    <t>Recep Bıyıklı</t>
  </si>
  <si>
    <t>Rıdvan Berkay Çetin</t>
  </si>
  <si>
    <t>Sezer Güven</t>
  </si>
  <si>
    <t>Total QA Effort</t>
  </si>
  <si>
    <t>Eren Anar</t>
  </si>
  <si>
    <t>Hande Kılıç</t>
  </si>
  <si>
    <t>Lokman Günay</t>
  </si>
  <si>
    <t>Mariia Izio</t>
  </si>
  <si>
    <t>QA Testing Efforts</t>
  </si>
  <si>
    <t>28-64</t>
  </si>
  <si>
    <t>Sprint Guardian</t>
  </si>
  <si>
    <t>Recep</t>
  </si>
  <si>
    <t>Rıdvan</t>
  </si>
  <si>
    <t>Dmitri</t>
  </si>
  <si>
    <t>Emre</t>
  </si>
  <si>
    <t>Maksym</t>
  </si>
  <si>
    <t>Rahmetullah</t>
  </si>
  <si>
    <t>Liron</t>
  </si>
  <si>
    <t>July</t>
  </si>
  <si>
    <t>28/12/2023 - 12/01/2024</t>
  </si>
  <si>
    <t>12/01/2024 - 26/01/2024</t>
  </si>
  <si>
    <t>26/01/2024 - 09/02/2024</t>
  </si>
  <si>
    <t>09/02/2024 - 23/02/2024</t>
  </si>
  <si>
    <t>23/02/2024 - 08/03/2024</t>
  </si>
  <si>
    <t>08/03/2024 - 22/03/2024</t>
  </si>
  <si>
    <t>22/03/2024 - 05/04/2024</t>
  </si>
  <si>
    <t>05/04/2024 - 19/04/2024</t>
  </si>
  <si>
    <t>19/04/2024 - 03/05/2024</t>
  </si>
  <si>
    <t>03/05/2024 - 17/05/2024</t>
  </si>
  <si>
    <t>17/05/2024 - 31/05/2024</t>
  </si>
  <si>
    <t>31/05/2024 - 14/06/2024</t>
  </si>
  <si>
    <t>14/06/2024 - 5/07/2024</t>
  </si>
  <si>
    <t>05/07/2024 - 19/07/2024</t>
  </si>
  <si>
    <t>19/07/2024 - 02/08/2024</t>
  </si>
  <si>
    <t>02/08/2024 - 16/08/2024</t>
  </si>
  <si>
    <t>16/08/2024 - 02/09/2024</t>
  </si>
  <si>
    <t>02/09/2024 - 13/09/2024</t>
  </si>
  <si>
    <t>13/09/2024 - 26/09/2024</t>
  </si>
  <si>
    <t>26/09/2024 - 11/10/2024</t>
  </si>
  <si>
    <t>11/10/2024 - 25/10/2024</t>
  </si>
  <si>
    <t>Liron - 24Q1 - Sprint#1</t>
  </si>
  <si>
    <t>Liron - 24Q1 - Sprint#2</t>
  </si>
  <si>
    <t>Liron - 24Q1 - Sprint#3</t>
  </si>
  <si>
    <t>Liron - 24Q1 - Sprint#4</t>
  </si>
  <si>
    <t>Liron - 24Q1 - Sprint#5</t>
  </si>
  <si>
    <t>Liron - 24Q1 - Sprint#6</t>
  </si>
  <si>
    <t>Liron - 24Q1 - Sprint#7</t>
  </si>
  <si>
    <t>Liron - 24Q2 - Sprint#1</t>
  </si>
  <si>
    <t>Liron - 24Q2 - Sprint#2</t>
  </si>
  <si>
    <t>Liron - 24Q2 - Sprint#3</t>
  </si>
  <si>
    <t>Liron - 24Q2 - Sprint#4</t>
  </si>
  <si>
    <t>Liron - 24Q2 - Sprint#5</t>
  </si>
  <si>
    <t>Liron - 24Q2 - Sprint#6</t>
  </si>
  <si>
    <t>Liron - 24Q3 - Sprint#1</t>
  </si>
  <si>
    <t>Liron - 24Q3 - Sprint#2</t>
  </si>
  <si>
    <t>Liron - 24Q3 - Sprint#3</t>
  </si>
  <si>
    <t>Liron - 24Q3 - Sprint#4</t>
  </si>
  <si>
    <t>Liron - 24Q3 - Sprint#5</t>
  </si>
  <si>
    <t>Liron - 24Q3 - Sprint#6</t>
  </si>
  <si>
    <t>Liron - 24Q4 - Sprint#1</t>
  </si>
  <si>
    <t>Liron - 24Q4 - Sprint#2</t>
  </si>
  <si>
    <t xml:space="preserve">Being able to filter campaigns by Group Level Access on the Campaign Listing Page of Web Templates
</t>
  </si>
  <si>
    <t>Being ready for the beta process in GLA KR - Being ready for the new partner activation on Gachapon</t>
  </si>
  <si>
    <t xml:space="preserve">- Finalizing the development phase for GLA KR 
- Making the New Tab ready for current partners and completing the test partners' transition
</t>
  </si>
  <si>
    <t>- Finalizing the development of Gachapon Update KR and completing the Current Partner Transition P1 
- Enabling Structure for PaG and Lead Collection templates 
- Finalizing the Enigma transition for Custom Segments</t>
  </si>
  <si>
    <t>- Finalizing Web Suite Pricing Package Update KR - Completing the Instory Enigma Research - Completing the DS Component Updates except Data Table</t>
  </si>
  <si>
    <t>- Finalizing the development of Enigma Transition KR 
- Being ready to launch Structures to all partners</t>
  </si>
  <si>
    <t xml:space="preserve">- Enabling Structures for all partners 
- Finalizing the UCD Tech Design tasks 
- Completing the partner transition for Enigma KR
</t>
  </si>
  <si>
    <t xml:space="preserve">- Finalizing the Improving Export Variation Duration Tech Design P.1
</t>
  </si>
  <si>
    <t xml:space="preserve">- Finalizing the Image URL Generator KR (x)
- Completing the Tech Design and first step of Export Variation
</t>
  </si>
  <si>
    <t xml:space="preserve">- Launching Skywalker Improvement 
- Local Environment to be ready for Export Duration KR
</t>
  </si>
  <si>
    <t>- Kube and Export System to be ready to fetch CSV 
- Finalizing the development of the Image URL Generation KR</t>
  </si>
  <si>
    <t>Panel design to be ready to download and CSV files from creation until saving to be ready</t>
  </si>
  <si>
    <t>- Export Duration: Email sent to real users 
- UCD: Necessary environments to be ready</t>
  </si>
  <si>
    <t>- Test partners are able to download data from url.
- Completing the first part of the BE service.</t>
  </si>
  <si>
    <t>- Finalizing the development of Export Duration KR
- Finalizing the Kube creation and Segment Page P.1</t>
  </si>
  <si>
    <t xml:space="preserve">- Finalizing the happy path flow on Segment page
</t>
  </si>
  <si>
    <t xml:space="preserve">- Finalizing the development tasks of UCD transition
</t>
  </si>
  <si>
    <t>- Finalizing the development of UCD Transition KR 
- Finalizing the required development on Pandora for unsafe-eval</t>
  </si>
  <si>
    <t xml:space="preserve">- Finalizing the "Removing the unsafe-eval" KR
</t>
  </si>
  <si>
    <t xml:space="preserve">- Finalizing the development of "Removing the unsafe-eval" KR
</t>
  </si>
  <si>
    <t xml:space="preserve">- Being ready for the AI-Based Text Generation KR Grooming
</t>
  </si>
  <si>
    <t>Bug Ratio</t>
  </si>
  <si>
    <t>[Tech tasks] committed | Unit Tests</t>
  </si>
  <si>
    <t>[Tech tasks] done | Unit Tests</t>
  </si>
  <si>
    <t>[Tech tasks] committed | Security</t>
  </si>
  <si>
    <t>[Tech tasks] done | Security</t>
  </si>
  <si>
    <t>[Tech tasks] committed | Tech Debts</t>
  </si>
  <si>
    <t>[Tech tasks] done | Tech Debts</t>
  </si>
  <si>
    <t>Committed Unit Tests in Q</t>
  </si>
  <si>
    <t>Committed Security in Q</t>
  </si>
  <si>
    <t>Commited Tech Debts in Q</t>
  </si>
  <si>
    <t>Sprint Goal Effort</t>
  </si>
  <si>
    <t>Retro board link</t>
  </si>
  <si>
    <t>link</t>
  </si>
  <si>
    <t xml:space="preserve"> </t>
  </si>
  <si>
    <t>Arda Berrun Karaca</t>
  </si>
  <si>
    <t>Aziza Kasenova</t>
  </si>
  <si>
    <t>Fatih Ertugral</t>
  </si>
  <si>
    <t>Sahin Deniz</t>
  </si>
  <si>
    <t>Tugay İlik</t>
  </si>
  <si>
    <t>Semih Ünal</t>
  </si>
  <si>
    <t>Samet Sevindi</t>
  </si>
  <si>
    <t>Samet Yıldırım</t>
  </si>
  <si>
    <t>Umur Akbulut</t>
  </si>
  <si>
    <t>Semih Unal</t>
  </si>
  <si>
    <t>Samet Yildirim</t>
  </si>
  <si>
    <t>average committed</t>
  </si>
  <si>
    <t>sum committed</t>
  </si>
  <si>
    <t>Merged effort</t>
  </si>
  <si>
    <t>Shipping Accuracy with merged only</t>
  </si>
  <si>
    <t>Individual Done Effort - %</t>
  </si>
  <si>
    <t>Yaman Ozdemir</t>
  </si>
  <si>
    <t>Skeletors</t>
  </si>
  <si>
    <t>28/12/2023 - 11/01/2024</t>
  </si>
  <si>
    <t>11/01/2024 - 25/01/2024</t>
  </si>
  <si>
    <t>25/01/2024 - 08/02/2024</t>
  </si>
  <si>
    <t>08/02/2024 - 22/02/2024</t>
  </si>
  <si>
    <t>22/02/2024 - 07/03/2024</t>
  </si>
  <si>
    <t>07/03/2024 - 21/03/2024</t>
  </si>
  <si>
    <t>21/03/2024 - 04/04/2024</t>
  </si>
  <si>
    <t>04/04/2024 - 18/04/2024</t>
  </si>
  <si>
    <t>18/04/2024 - 02/05/2024</t>
  </si>
  <si>
    <t>02/05/2024 - 16/05/2024</t>
  </si>
  <si>
    <t>16/05/2024 - 30/05/2024</t>
  </si>
  <si>
    <t>30/05/2024 - 13/06/2024</t>
  </si>
  <si>
    <t>13/06/2024 - 04/07/2024</t>
  </si>
  <si>
    <t>04/07/2024 - 18/07/2024</t>
  </si>
  <si>
    <t>18/07/2024 - 01/08/2024</t>
  </si>
  <si>
    <t>01/08/2024 - 15/08/2024</t>
  </si>
  <si>
    <t>15/08/2024 - 29/08/2024</t>
  </si>
  <si>
    <t>29/08/2024 - 12/09/2024</t>
  </si>
  <si>
    <t>26/09/2024 - 10/10/2024</t>
  </si>
  <si>
    <t>10/10/2024 - 24/10/2024</t>
  </si>
  <si>
    <t>24/10/2024 - 07/11/2024</t>
  </si>
  <si>
    <t>07/11/2024 - 21/11/2024</t>
  </si>
  <si>
    <t>21/11/2024 - 05/12/2024</t>
  </si>
  <si>
    <t>05/12/2024 - 19/12/2024</t>
  </si>
  <si>
    <t>19/12/2024 - 02/01/2024</t>
  </si>
  <si>
    <t>[2024][Q1] Skeletors #1</t>
  </si>
  <si>
    <t>[2024][Q1] Skeletors #2</t>
  </si>
  <si>
    <t>[2024][Q1] Skeletors #3</t>
  </si>
  <si>
    <t>[2024][Q1] Skeletors #4</t>
  </si>
  <si>
    <t>[2024][Q1] Skeletors #5</t>
  </si>
  <si>
    <t>[2024][Q1] Skeletors #6</t>
  </si>
  <si>
    <t>[2024][Q1] Skeletors #7</t>
  </si>
  <si>
    <t>[2024][Q2] Skeletors #1</t>
  </si>
  <si>
    <t>[2024][Q2] Skeletors #2</t>
  </si>
  <si>
    <t>[2024][Q2] Skeletors #3</t>
  </si>
  <si>
    <t>[2024][Q2] Skeletors #4</t>
  </si>
  <si>
    <t>[2024][Q2] Skeletors #5</t>
  </si>
  <si>
    <t>[2024][Q2] Skeletors #6</t>
  </si>
  <si>
    <t>[2024][Q3] Skeletors #1</t>
  </si>
  <si>
    <t>[2024][Q3] Skeletors #2</t>
  </si>
  <si>
    <t>[2024][Q3] Skeletors #3</t>
  </si>
  <si>
    <t>[2024][Q3] Skeletors #4</t>
  </si>
  <si>
    <t>[2024][Q3] Skeletors #5</t>
  </si>
  <si>
    <t>[2024][Q3] Skeletors #6</t>
  </si>
  <si>
    <t>[2024][Q4] Skeletors #1</t>
  </si>
  <si>
    <t>[2024][Q4] Skeletors #2</t>
  </si>
  <si>
    <t>[2024][Q4] Skeletors #3</t>
  </si>
  <si>
    <t>[2024][Q4] Skeletors #4</t>
  </si>
  <si>
    <t>[2024][Q4] Skeletors #5</t>
  </si>
  <si>
    <t>[2024][Q4] Skeletors #6</t>
  </si>
  <si>
    <t>Launching the first 4 templates with renewed design to the library!</t>
  </si>
  <si>
    <t>Launching all template facelifting tasks in the sprint!</t>
  </si>
  <si>
    <t>Finalizing all template facelifting tasks in the sprint</t>
  </si>
  <si>
    <t>Enhanced template related issues will be resolved! Web SDK related issue will be resolved!</t>
  </si>
  <si>
    <t xml:space="preserve">AWS tarafındaki structure’ın oluşturulması 3dilim'de social proof template'ını mobile template Store &amp; AB'de görünmesi.
</t>
  </si>
  <si>
    <t>Enhanced Templates: Step function flow ile web ve mobile tarafında farklı statuslere sahip kampanyaların tespiti</t>
  </si>
  <si>
    <t>Cron Job'ın Slack'e notification gönderiyor olması</t>
  </si>
  <si>
    <t>Launching 5 new responsive templates to web and app templates</t>
  </si>
  <si>
    <t>Finalizing the Ready-Made templates Establishing development readiness for Web SDK Integration Wizard</t>
  </si>
  <si>
    <t>Web SDK Wizard yeni yapı 3dilim partnerinde görünür olması (backend çalışmayacak)</t>
  </si>
  <si>
    <t>Web sdk wizard'ın tamuat (ve 3dilim) test partner(ler)inde live test yapılmaya hazır olması</t>
  </si>
  <si>
    <t>Web SDK wizard'ın tamuat accountında "confirmation page" (son sayfa) hariç tamamen çalışıyor olması</t>
  </si>
  <si>
    <t>Web SDK wizard tamuat partnerinde canlıda olması
Test&amp;preview developmentına hazır olunması</t>
  </si>
  <si>
    <t>- App'te testing fonksiyonlarının approve'unun plan day'e kadar verilmesi
- Currency api'in mobile team kullanımına hazır olması</t>
  </si>
  <si>
    <t>Test&amp;preview is ready for partner launch on scalability side
Items for web&amp;app consistency kr grooming and kr grooming done</t>
  </si>
  <si>
    <t>- Enabling web sdk wizard for all new partners without any issue preventing usage
- Adding the needed parameters for lead_collected</t>
  </si>
  <si>
    <t>- SDK easy enablement will be provided
- Partner tasks will be completed</t>
  </si>
  <si>
    <t>- set as attribute task will be moved to done
- dropdown tasks will be moved to done</t>
  </si>
  <si>
    <t>- Tech Designin 2 aşamasından ilki (3 task) bitecek ve initial development belirlenecek.</t>
  </si>
  <si>
    <t>- Completing the Part 2 of Domain Whitelist tech design and 2 initial development tasks.</t>
  </si>
  <si>
    <t>.</t>
  </si>
  <si>
    <t>[Tech tasks] committed | UX Impr</t>
  </si>
  <si>
    <t>[Tech tasks] done | UX Impr</t>
  </si>
  <si>
    <t>Retro Link</t>
  </si>
  <si>
    <t>Retro</t>
  </si>
  <si>
    <t>Ahmet Aslan</t>
  </si>
  <si>
    <t>Yasin Can Tarlan</t>
  </si>
  <si>
    <t>Ugurcan Ertek</t>
  </si>
  <si>
    <t>Mert Adatepe</t>
  </si>
  <si>
    <t>Bilge Bavlı</t>
  </si>
  <si>
    <t>Mert Sefa Yüksel</t>
  </si>
  <si>
    <t>İsmail Kaya</t>
  </si>
  <si>
    <t>Oktay Yedibela</t>
  </si>
  <si>
    <t>Merve Sen</t>
  </si>
  <si>
    <t>Kübra Durmez</t>
  </si>
  <si>
    <t>Mert Kaplan</t>
  </si>
  <si>
    <t>Scale-Up</t>
  </si>
  <si>
    <t>04/07/2024-08/07/2024</t>
  </si>
  <si>
    <t>08/07/2024-31/07/2024</t>
  </si>
  <si>
    <t>31/07/2024-15/08/2024</t>
  </si>
  <si>
    <t>15/08/2024-28/08/2024</t>
  </si>
  <si>
    <t>28/08/2024-11/09/2024</t>
  </si>
  <si>
    <t>11/09/2024-25/09/2024</t>
  </si>
  <si>
    <t>25/09/2024-09/10/2024</t>
  </si>
  <si>
    <t>[2024][Q3] #1</t>
  </si>
  <si>
    <t>[2024][Q3] #2</t>
  </si>
  <si>
    <t>[2024][Q3] #3</t>
  </si>
  <si>
    <t>[2024][Q3] #4</t>
  </si>
  <si>
    <t>[2024][Q3] #5</t>
  </si>
  <si>
    <t>[2024][Q3] #6</t>
  </si>
  <si>
    <t>[2024][Q4] #1</t>
  </si>
  <si>
    <t>Finalizing the Tech Analysis of the first KRs</t>
  </si>
  <si>
    <t>Being able to 3rd page to the Lead Collection Onpage - Finalizing the Carrier Service development</t>
  </si>
  <si>
    <t>Completing the necessary actions required for 3-Page templates 
- Completing the Dropdown components</t>
  </si>
  <si>
    <t>Finalizing the panel design of Data Match rule</t>
  </si>
  <si>
    <t xml:space="preserve">- Finalizing the development of Data Match Rule ❌ 
- Completing the 3-Page Lead Collection tasks ❌
</t>
  </si>
  <si>
    <t>- Completing the development of List Checker 
- Being ready to launch the 3 Page Onpage Lead Collection template</t>
  </si>
  <si>
    <t>- Finalizing the Partner Check P.1 for Insider Extension  ✅︎
- Enabling the 3-Page Onpage Lead Collection for Partners ❌</t>
  </si>
  <si>
    <t>Şahin Deniz</t>
  </si>
  <si>
    <t xml:space="preserve">Arda Berrun Karaca </t>
  </si>
  <si>
    <t>Eda Taşyürek</t>
  </si>
  <si>
    <t>Beyza Ozbek</t>
  </si>
  <si>
    <t>Contech</t>
  </si>
  <si>
    <t>28.12.2023</t>
  </si>
  <si>
    <t>11.01.2024</t>
  </si>
  <si>
    <t>25.01.2024</t>
  </si>
  <si>
    <t>09.02.2024</t>
  </si>
  <si>
    <t>22.02.2024</t>
  </si>
  <si>
    <t>07.03.2024</t>
  </si>
  <si>
    <t>21.03.2024</t>
  </si>
  <si>
    <t>4.04.2024</t>
  </si>
  <si>
    <t>25.04 - 16.05</t>
  </si>
  <si>
    <t>16.05 - 30.05</t>
  </si>
  <si>
    <t>31.05 - 14.06</t>
  </si>
  <si>
    <t>14.06 - 05.07</t>
  </si>
  <si>
    <t>18.07-01.08</t>
  </si>
  <si>
    <t>01.08-22.08</t>
  </si>
  <si>
    <t>22.08-05.09</t>
  </si>
  <si>
    <t>05.09-19.09</t>
  </si>
  <si>
    <t>19.09-03.10</t>
  </si>
  <si>
    <t>03.10-17.10</t>
  </si>
  <si>
    <t>🐉 Charizard #1</t>
  </si>
  <si>
    <t>Better Call Sezer #2 2024</t>
  </si>
  <si>
    <t>Talk like a Godfather #3</t>
  </si>
  <si>
    <t>Long Planning Sprint #4</t>
  </si>
  <si>
    <t>Hyperkube #5</t>
  </si>
  <si>
    <t>Full Automation #6</t>
  </si>
  <si>
    <t>Electricty Off - Q2 24</t>
  </si>
  <si>
    <t>Eid Mubarak #2</t>
  </si>
  <si>
    <t>Creative Name #3</t>
  </si>
  <si>
    <t>Amelia #4</t>
  </si>
  <si>
    <t>Contech Sprint #5</t>
  </si>
  <si>
    <t>Rest and Fail #6</t>
  </si>
  <si>
    <t>Aperol Sprint #1</t>
  </si>
  <si>
    <t>Edward Scissorhands #2</t>
  </si>
  <si>
    <t>Welcome Reza Abi #3</t>
  </si>
  <si>
    <t>Coming Like Ateş #4</t>
  </si>
  <si>
    <t>Prison Break #5</t>
  </si>
  <si>
    <t>QA Story Pointsss #6</t>
  </si>
  <si>
    <t>The Matrix Q4S1</t>
  </si>
  <si>
    <t>Refactoring the Unsubscribe Publisher</t>
  </si>
  <si>
    <t>(CAU) API Coverages | WhatsApp &amp; SMS</t>
  </si>
  <si>
    <t>Data Master onboarding
Event Pause/Resume and Minor Coverages
Data Master QA Camp Beta Partner release</t>
  </si>
  <si>
    <t>Email Based Subscription Flow Gachapon Settings
WA &amp; SMS To Work with Suppression DB by default</t>
  </si>
  <si>
    <t>(Unsubscribe API Case) (Contact Service) Profile Based Subscription Flow
(Resubscribe API) (Contact Service) Profile Based Subscription Flow
Bulk Upload - (Panel Coverages) Profile Based Subscription Flow
(Panel Coverages) Profile Based Subscription Flow
(QA Check) Lead collection campaigns coverage</t>
  </si>
  <si>
    <t>Toggle Task - Skywalker | Sidebar Redesign Project
V2 Task - Skywalker Sidebar Redesign Project
Search - Skywalker | Sidebar Redesign Project
Tech Design For Caching Mechanism | SideBar</t>
  </si>
  <si>
    <t>Audience Analytics - Message Frequency Dropdown
Audience Analytics - MVP Development Part 3.4 implementation of filter for the green boxes
Audience Analytics - MVP Development Part 3.3 - BE (Plugging Remaining Endpoint)
Audience Analytics - MVP Development Part 3.2 - FE (Applying Segmentation to queries)</t>
  </si>
  <si>
    <r>
      <rPr>
        <rFont val="arial, sans, sans-serif"/>
        <color rgb="FF1155CC"/>
        <u/>
      </rPr>
      <t>SD-104061</t>
    </r>
    <r>
      <rPr>
        <rFont val="arial, sans, sans-serif"/>
      </rPr>
      <t xml:space="preserve"> BE - Editing Dynamic Segments </t>
    </r>
    <r>
      <rPr>
        <rFont val="arial, sans, sans-serif"/>
        <color rgb="FF1155CC"/>
        <u/>
      </rPr>
      <t>KR</t>
    </r>
    <r>
      <rPr>
        <rFont val="arial, sans, sans-serif"/>
      </rPr>
      <t xml:space="preserve">
</t>
    </r>
    <r>
      <rPr>
        <rFont val="arial, sans, sans-serif"/>
        <color rgb="FF1155CC"/>
        <u/>
      </rPr>
      <t>SD-101461</t>
    </r>
    <r>
      <rPr>
        <rFont val="arial, sans, sans-serif"/>
      </rPr>
      <t xml:space="preserve"> FE - Editing Dynamic Segments </t>
    </r>
    <r>
      <rPr>
        <rFont val="arial, sans, sans-serif"/>
        <color rgb="FF1155CC"/>
        <u/>
      </rPr>
      <t>KR</t>
    </r>
    <r>
      <rPr>
        <rFont val="arial, sans, sans-serif"/>
      </rPr>
      <t xml:space="preserve">
</t>
    </r>
    <r>
      <rPr>
        <rFont val="arial, sans, sans-serif"/>
        <color rgb="FF1155CC"/>
        <u/>
      </rPr>
      <t>SD-101710</t>
    </r>
    <r>
      <rPr>
        <rFont val="arial, sans, sans-serif"/>
      </rPr>
      <t xml:space="preserve"> Audience Analytics MVP 2.0 Tech Design for Data Cache (MVP 2.0) </t>
    </r>
    <r>
      <rPr>
        <rFont val="arial, sans, sans-serif"/>
        <color rgb="FF1155CC"/>
        <u/>
      </rPr>
      <t>KR</t>
    </r>
    <r>
      <rPr>
        <rFont val="arial, sans, sans-serif"/>
      </rPr>
      <t xml:space="preserve">
</t>
    </r>
    <r>
      <rPr>
        <rFont val="arial, sans, sans-serif"/>
        <color rgb="FF1155CC"/>
        <u/>
      </rPr>
      <t>SD-103914</t>
    </r>
    <r>
      <rPr>
        <rFont val="arial, sans, sans-serif"/>
      </rPr>
      <t xml:space="preserve"> Audience Analytics - Message Freq Dropdown Iteration </t>
    </r>
    <r>
      <rPr>
        <rFont val="arial, sans, sans-serif"/>
        <color rgb="FF1155CC"/>
        <u/>
      </rPr>
      <t>KR</t>
    </r>
    <r>
      <rPr>
        <rFont val="arial, sans, sans-serif"/>
      </rPr>
      <t xml:space="preserve">
</t>
    </r>
    <r>
      <rPr>
        <rFont val="arial, sans, sans-serif"/>
        <color rgb="FF1155CC"/>
        <u/>
      </rPr>
      <t>SD-103088</t>
    </r>
    <r>
      <rPr>
        <rFont val="arial, sans, sans-serif"/>
      </rPr>
      <t xml:space="preserve"> Data Master | Monitoring Results </t>
    </r>
    <r>
      <rPr>
        <rFont val="arial, sans, sans-serif"/>
        <color rgb="FF1155CC"/>
        <u/>
      </rPr>
      <t>KR</t>
    </r>
  </si>
  <si>
    <r>
      <rPr>
        <rFont val="arial, sans, sans-serif"/>
        <color rgb="FF1155CC"/>
        <u/>
      </rPr>
      <t>SD-104863</t>
    </r>
    <r>
      <rPr>
        <rFont val="arial, sans, sans-serif"/>
      </rPr>
      <t xml:space="preserve"> Editing Dynamic Segments Improvements </t>
    </r>
    <r>
      <rPr>
        <rFont val="arial, sans, sans-serif"/>
        <color rgb="FF1155CC"/>
        <u/>
      </rPr>
      <t>KR</t>
    </r>
    <r>
      <rPr>
        <rFont val="arial, sans, sans-serif"/>
      </rPr>
      <t xml:space="preserve"> ✅︎
</t>
    </r>
    <r>
      <rPr>
        <rFont val="arial, sans, sans-serif"/>
        <color rgb="FF1155CC"/>
        <u/>
      </rPr>
      <t>SD-104839</t>
    </r>
    <r>
      <rPr>
        <rFont val="arial, sans, sans-serif"/>
      </rPr>
      <t xml:space="preserve"> Fixed 3 duplicated requests to DB in Data master page </t>
    </r>
    <r>
      <rPr>
        <rFont val="arial, sans, sans-serif"/>
        <color rgb="FF1155CC"/>
        <u/>
      </rPr>
      <t>KR</t>
    </r>
    <r>
      <rPr>
        <rFont val="arial, sans, sans-serif"/>
      </rPr>
      <t xml:space="preserve"> ✅︎
</t>
    </r>
    <r>
      <rPr>
        <rFont val="arial, sans, sans-serif"/>
        <color rgb="FF1155CC"/>
        <u/>
      </rPr>
      <t>SD-104575</t>
    </r>
    <r>
      <rPr>
        <rFont val="arial, sans, sans-serif"/>
      </rPr>
      <t xml:space="preserve"> Tech Design saved segment and segment exclusion </t>
    </r>
    <r>
      <rPr>
        <rFont val="arial, sans, sans-serif"/>
        <color rgb="FF1155CC"/>
        <u/>
      </rPr>
      <t>KR</t>
    </r>
    <r>
      <rPr>
        <rFont val="arial, sans, sans-serif"/>
      </rPr>
      <t xml:space="preserve"> ✅︎
</t>
    </r>
    <r>
      <rPr>
        <rFont val="arial, sans, sans-serif"/>
        <color rgb="FF1155CC"/>
        <u/>
      </rPr>
      <t>SD-104065</t>
    </r>
    <r>
      <rPr>
        <rFont val="arial, sans, sans-serif"/>
      </rPr>
      <t xml:space="preserve"> Edit Segments Beta Partner Release </t>
    </r>
    <r>
      <rPr>
        <rFont val="arial, sans, sans-serif"/>
        <color rgb="FF1155CC"/>
        <u/>
      </rPr>
      <t>KR ✅︎
SD-105340</t>
    </r>
    <r>
      <rPr>
        <rFont val="arial, sans, sans-serif"/>
      </rPr>
      <t xml:space="preserve"> BE - Segment Exclusion | Create exclude Saved Segment Block </t>
    </r>
    <r>
      <rPr>
        <rFont val="arial, sans, sans-serif"/>
        <color rgb="FF1155CC"/>
        <u/>
      </rPr>
      <t>KR ❌
SD-105329</t>
    </r>
    <r>
      <rPr>
        <rFont val="arial, sans, sans-serif"/>
      </rPr>
      <t xml:space="preserve"> FE - Segment Exclusion | Create exclude Saved Segment Block </t>
    </r>
    <r>
      <rPr>
        <rFont val="arial, sans, sans-serif"/>
        <color rgb="FF1155CC"/>
        <u/>
      </rPr>
      <t>KR</t>
    </r>
    <r>
      <rPr>
        <rFont val="arial, sans, sans-serif"/>
      </rPr>
      <t xml:space="preserve"> ❌</t>
    </r>
  </si>
  <si>
    <r>
      <rPr>
        <rFont val="arial, sans, sans-serif"/>
        <color rgb="FF1155CC"/>
        <u/>
      </rPr>
      <t>SD-105329</t>
    </r>
    <r>
      <rPr>
        <rFont val="arial, sans, sans-serif"/>
      </rPr>
      <t xml:space="preserve"> FE - Segment Exclusion | Create exclude Saved Segment Block </t>
    </r>
    <r>
      <rPr>
        <rFont val="arial, sans, sans-serif"/>
        <color rgb="FF1155CC"/>
        <u/>
      </rPr>
      <t>KR</t>
    </r>
    <r>
      <rPr>
        <rFont val="arial, sans, sans-serif"/>
      </rPr>
      <t xml:space="preserve"> ✅︎
</t>
    </r>
    <r>
      <rPr>
        <rFont val="arial, sans, sans-serif"/>
        <color rgb="FF1155CC"/>
        <u/>
      </rPr>
      <t>SD-105340</t>
    </r>
    <r>
      <rPr>
        <rFont val="arial, sans, sans-serif"/>
      </rPr>
      <t xml:space="preserve"> BE - Segment Exclusion | Create exclude Saved Segment Block </t>
    </r>
    <r>
      <rPr>
        <rFont val="arial, sans, sans-serif"/>
        <color rgb="FF1155CC"/>
        <u/>
      </rPr>
      <t>KR</t>
    </r>
    <r>
      <rPr>
        <rFont val="arial, sans, sans-serif"/>
      </rPr>
      <t xml:space="preserve"> ✅︎
</t>
    </r>
    <r>
      <rPr>
        <rFont val="arial, sans, sans-serif"/>
        <color rgb="FF1155CC"/>
        <u/>
      </rPr>
      <t>SD-105240</t>
    </r>
    <r>
      <rPr>
        <rFont val="arial, sans, sans-serif"/>
      </rPr>
      <t xml:space="preserve"> Datamaster - Minor UX Improvement - Data sample addition, notes UX improvement </t>
    </r>
    <r>
      <rPr>
        <rFont val="arial, sans, sans-serif"/>
        <color rgb="FF1155CC"/>
        <u/>
      </rPr>
      <t>KR</t>
    </r>
    <r>
      <rPr>
        <rFont val="arial, sans, sans-serif"/>
      </rPr>
      <t xml:space="preserve"> ✅︎</t>
    </r>
    <r>
      <rPr>
        <rFont val="arial, sans, sans-serif"/>
        <color rgb="FF1155CC"/>
        <u/>
      </rPr>
      <t xml:space="preserve">
SD-105652</t>
    </r>
    <r>
      <rPr>
        <rFont val="arial, sans, sans-serif"/>
      </rPr>
      <t xml:space="preserve"> Data Master Grand Release </t>
    </r>
    <r>
      <rPr>
        <rFont val="arial, sans, sans-serif"/>
        <color rgb="FF1155CC"/>
        <u/>
      </rPr>
      <t>KR</t>
    </r>
    <r>
      <rPr>
        <rFont val="arial, sans, sans-serif"/>
      </rPr>
      <t xml:space="preserve"> ✅︎
</t>
    </r>
    <r>
      <rPr>
        <rFont val="arial, sans, sans-serif"/>
        <color rgb="FF1155CC"/>
        <u/>
      </rPr>
      <t>SD-105620</t>
    </r>
    <r>
      <rPr>
        <rFont val="arial, sans, sans-serif"/>
      </rPr>
      <t xml:space="preserve"> Edit Segments Grand Release </t>
    </r>
    <r>
      <rPr>
        <rFont val="arial, sans, sans-serif"/>
        <color rgb="FF1155CC"/>
        <u/>
      </rPr>
      <t>KR</t>
    </r>
    <r>
      <rPr>
        <rFont val="arial, sans, sans-serif"/>
      </rPr>
      <t xml:space="preserve"> ✅︎
</t>
    </r>
    <r>
      <rPr>
        <rFont val="arial, sans, sans-serif"/>
        <color rgb="FF1155CC"/>
        <u/>
      </rPr>
      <t>SD-105657</t>
    </r>
    <r>
      <rPr>
        <rFont val="arial, sans, sans-serif"/>
      </rPr>
      <t xml:space="preserve"> (Phase 1) Attribute Value Comparisons </t>
    </r>
    <r>
      <rPr>
        <rFont val="arial, sans, sans-serif"/>
        <color rgb="FF1155CC"/>
        <u/>
      </rPr>
      <t>KR</t>
    </r>
    <r>
      <rPr>
        <rFont val="arial, sans, sans-serif"/>
      </rPr>
      <t xml:space="preserve"> ✅︎</t>
    </r>
  </si>
  <si>
    <r>
      <rPr>
        <rFont val="arial, sans, sans-serif"/>
        <color rgb="FF1155CC"/>
        <u/>
      </rPr>
      <t>SD-105781</t>
    </r>
    <r>
      <rPr>
        <rFont val="arial, sans, sans-serif"/>
      </rPr>
      <t xml:space="preserve"> FE - (Phase 1) Expression/Attribute Value Comparisons | Contech </t>
    </r>
    <r>
      <rPr>
        <rFont val="arial, sans, sans-serif"/>
        <color rgb="FF1155CC"/>
        <u/>
      </rPr>
      <t>KR</t>
    </r>
    <r>
      <rPr>
        <rFont val="arial, sans, sans-serif"/>
      </rPr>
      <t xml:space="preserve"> ✅︎
</t>
    </r>
    <r>
      <rPr>
        <rFont val="arial, sans, sans-serif"/>
        <color rgb="FF1155CC"/>
        <u/>
      </rPr>
      <t>SD-106375</t>
    </r>
    <r>
      <rPr>
        <rFont val="arial, sans, sans-serif"/>
      </rPr>
      <t xml:space="preserve"> BE - (Phase 1) Expression/Attribute Value Comparisons | Contech </t>
    </r>
    <r>
      <rPr>
        <rFont val="arial, sans, sans-serif"/>
        <color rgb="FF1155CC"/>
        <u/>
      </rPr>
      <t>KR</t>
    </r>
    <r>
      <rPr>
        <rFont val="arial, sans, sans-serif"/>
      </rPr>
      <t xml:space="preserve"> ✅︎
</t>
    </r>
    <r>
      <rPr>
        <rFont val="arial, sans, sans-serif"/>
        <color rgb="FF1155CC"/>
        <u/>
      </rPr>
      <t>SD-106516</t>
    </r>
    <r>
      <rPr>
        <rFont val="arial, sans, sans-serif"/>
      </rPr>
      <t xml:space="preserve"> HB Release (Phase 1) Expression/Attribute Value Comparisons | Contech </t>
    </r>
    <r>
      <rPr>
        <rFont val="arial, sans, sans-serif"/>
        <color rgb="FF1155CC"/>
        <u/>
      </rPr>
      <t>KR</t>
    </r>
    <r>
      <rPr>
        <rFont val="arial, sans, sans-serif"/>
      </rPr>
      <t xml:space="preserve"> ✅︎
</t>
    </r>
    <r>
      <rPr>
        <rFont val="arial, sans, sans-serif"/>
        <color rgb="FF1155CC"/>
        <u/>
      </rPr>
      <t>SD-106173</t>
    </r>
    <r>
      <rPr>
        <rFont val="arial, sans, sans-serif"/>
      </rPr>
      <t xml:space="preserve"> Open Segment Exclusion for Vogacloset </t>
    </r>
    <r>
      <rPr>
        <rFont val="arial, sans, sans-serif"/>
        <color rgb="FF1155CC"/>
        <u/>
      </rPr>
      <t>KR</t>
    </r>
    <r>
      <rPr>
        <rFont val="arial, sans, sans-serif"/>
      </rPr>
      <t xml:space="preserve"> ✅︎
</t>
    </r>
    <r>
      <rPr>
        <rFont val="arial, sans, sans-serif"/>
        <color rgb="FF1155CC"/>
        <u/>
      </rPr>
      <t>SD-106416</t>
    </r>
    <r>
      <rPr>
        <rFont val="arial, sans, sans-serif"/>
      </rPr>
      <t xml:space="preserve"> BE - Dynamic Segment as a Filter </t>
    </r>
    <r>
      <rPr>
        <rFont val="arial, sans, sans-serif"/>
        <color rgb="FF1155CC"/>
        <u/>
      </rPr>
      <t>KR</t>
    </r>
    <r>
      <rPr>
        <rFont val="arial, sans, sans-serif"/>
      </rPr>
      <t xml:space="preserve">  🟩
</t>
    </r>
    <r>
      <rPr>
        <rFont val="arial, sans, sans-serif"/>
        <color rgb="FF1155CC"/>
        <u/>
      </rPr>
      <t>SD-106361</t>
    </r>
    <r>
      <rPr>
        <rFont val="arial, sans, sans-serif"/>
      </rPr>
      <t xml:space="preserve"> FE - Dynamic Segment as a Filter </t>
    </r>
    <r>
      <rPr>
        <rFont val="arial, sans, sans-serif"/>
        <color rgb="FF1155CC"/>
        <u/>
      </rPr>
      <t>KR</t>
    </r>
    <r>
      <rPr>
        <rFont val="arial, sans, sans-serif"/>
      </rPr>
      <t xml:space="preserve"> ❌
</t>
    </r>
    <r>
      <rPr>
        <rFont val="arial, sans, sans-serif"/>
        <color rgb="FF1155CC"/>
        <u/>
      </rPr>
      <t>SD-106517</t>
    </r>
    <r>
      <rPr>
        <rFont val="arial, sans, sans-serif"/>
      </rPr>
      <t xml:space="preserve"> HB Release - Dynamic Segment as a Filter </t>
    </r>
    <r>
      <rPr>
        <rFont val="arial, sans, sans-serif"/>
        <color rgb="FF1155CC"/>
        <u/>
      </rPr>
      <t>KR</t>
    </r>
    <r>
      <rPr>
        <rFont val="arial, sans, sans-serif"/>
      </rPr>
      <t xml:space="preserve"> ❌</t>
    </r>
  </si>
  <si>
    <r>
      <rPr>
        <rFont val="arial, sans, sans-serif"/>
        <color rgb="FF1155CC"/>
        <u/>
      </rPr>
      <t>SD-107020</t>
    </r>
    <r>
      <rPr>
        <rFont val="arial, sans, sans-serif"/>
      </rPr>
      <t xml:space="preserve"> (Segmentation Package) ( Create Page ) Expressions </t>
    </r>
    <r>
      <rPr>
        <rFont val="arial, sans, sans-serif"/>
        <color rgb="FF1155CC"/>
        <u/>
      </rPr>
      <t>KR</t>
    </r>
    <r>
      <rPr>
        <rFont val="arial, sans, sans-serif"/>
      </rPr>
      <t xml:space="preserve"> ❌
</t>
    </r>
    <r>
      <rPr>
        <rFont val="arial, sans, sans-serif"/>
        <color rgb="FF1155CC"/>
        <u/>
      </rPr>
      <t>SD-107022</t>
    </r>
    <r>
      <rPr>
        <rFont val="arial, sans, sans-serif"/>
      </rPr>
      <t xml:space="preserve"> FE - (InOne) ( Create Page ) Expressions </t>
    </r>
    <r>
      <rPr>
        <rFont val="arial, sans, sans-serif"/>
        <color rgb="FF1155CC"/>
        <u/>
      </rPr>
      <t>KR</t>
    </r>
    <r>
      <rPr>
        <rFont val="arial, sans, sans-serif"/>
      </rPr>
      <t xml:space="preserve"> ❌
</t>
    </r>
    <r>
      <rPr>
        <rFont val="arial, sans, sans-serif"/>
        <color rgb="FF1155CC"/>
        <u/>
      </rPr>
      <t>SD-106281</t>
    </r>
    <r>
      <rPr>
        <rFont val="arial, sans, sans-serif"/>
      </rPr>
      <t xml:space="preserve"> BE - (InOne) ( Create Page ) Expressions  </t>
    </r>
    <r>
      <rPr>
        <rFont val="arial, sans, sans-serif"/>
        <color rgb="FF1155CC"/>
        <u/>
      </rPr>
      <t>KR</t>
    </r>
    <r>
      <rPr>
        <rFont val="arial, sans, sans-serif"/>
      </rPr>
      <t xml:space="preserve"> ✅︎
</t>
    </r>
    <r>
      <rPr>
        <rFont val="arial, sans, sans-serif"/>
        <color rgb="FF1155CC"/>
        <u/>
      </rPr>
      <t>SD-106386</t>
    </r>
    <r>
      <rPr>
        <rFont val="arial, sans, sans-serif"/>
      </rPr>
      <t xml:space="preserve"> FE - (MVP) Listing Page - Expressions </t>
    </r>
    <r>
      <rPr>
        <rFont val="arial, sans, sans-serif"/>
        <color rgb="FF1155CC"/>
        <u/>
      </rPr>
      <t>KR</t>
    </r>
    <r>
      <rPr>
        <rFont val="arial, sans, sans-serif"/>
      </rPr>
      <t xml:space="preserve"> ✅︎
</t>
    </r>
    <r>
      <rPr>
        <rFont val="arial, sans, sans-serif"/>
        <color rgb="FF1155CC"/>
        <u/>
      </rPr>
      <t>SD-107021</t>
    </r>
    <r>
      <rPr>
        <rFont val="arial, sans, sans-serif"/>
      </rPr>
      <t xml:space="preserve"> BE - (MVP) Listing Page - Expressions  </t>
    </r>
    <r>
      <rPr>
        <rFont val="arial, sans, sans-serif"/>
        <color rgb="FF1155CC"/>
        <u/>
      </rPr>
      <t>KR</t>
    </r>
    <r>
      <rPr>
        <rFont val="arial, sans, sans-serif"/>
      </rPr>
      <t xml:space="preserve"> ✅︎
</t>
    </r>
    <r>
      <rPr>
        <rFont val="arial, sans, sans-serif"/>
        <color rgb="FF1155CC"/>
        <u/>
      </rPr>
      <t>SD-106361</t>
    </r>
    <r>
      <rPr>
        <rFont val="arial, sans, sans-serif"/>
      </rPr>
      <t xml:space="preserve"> FE - Dynamic Segment as a Filter </t>
    </r>
    <r>
      <rPr>
        <rFont val="arial, sans, sans-serif"/>
        <color rgb="FF1155CC"/>
        <u/>
      </rPr>
      <t>KR</t>
    </r>
    <r>
      <rPr>
        <rFont val="arial, sans, sans-serif"/>
      </rPr>
      <t xml:space="preserve"> ✅︎</t>
    </r>
  </si>
  <si>
    <r>
      <rPr>
        <rFont val="arial, sans, sans-serif"/>
        <color rgb="FF1155CC"/>
        <u/>
      </rPr>
      <t xml:space="preserve">SD-107790 </t>
    </r>
    <r>
      <rPr>
        <rFont val="arial, sans, sans-serif"/>
      </rPr>
      <t xml:space="preserve">- Dynamic Segments ✅︎
</t>
    </r>
    <r>
      <rPr>
        <rFont val="arial, sans, sans-serif"/>
        <color rgb="FF1155CC"/>
        <u/>
      </rPr>
      <t xml:space="preserve">SD-107022 </t>
    </r>
    <r>
      <rPr>
        <rFont val="arial, sans, sans-serif"/>
      </rPr>
      <t xml:space="preserve">- Expressions ✅︎
</t>
    </r>
    <r>
      <rPr>
        <rFont val="arial, sans, sans-serif"/>
        <color rgb="FF1155CC"/>
        <u/>
      </rPr>
      <t xml:space="preserve">SD-107020 </t>
    </r>
    <r>
      <rPr>
        <rFont val="arial, sans, sans-serif"/>
      </rPr>
      <t xml:space="preserve">- Expressions ❌
</t>
    </r>
    <r>
      <rPr>
        <rFont val="arial, sans, sans-serif"/>
        <color rgb="FF1155CC"/>
        <u/>
      </rPr>
      <t xml:space="preserve">SD-106228 </t>
    </r>
    <r>
      <rPr>
        <rFont val="arial, sans, sans-serif"/>
      </rPr>
      <t xml:space="preserve">- New Subscriptions Flow KR❌
</t>
    </r>
    <r>
      <rPr>
        <rFont val="arial, sans, sans-serif"/>
        <color rgb="FF1155CC"/>
        <u/>
      </rPr>
      <t>SD-106227</t>
    </r>
    <r>
      <rPr>
        <rFont val="arial, sans, sans-serif"/>
      </rPr>
      <t xml:space="preserve"> - New Subscriptions Flow KR✅︎
</t>
    </r>
    <r>
      <rPr>
        <rFont val="arial, sans, sans-serif"/>
        <color rgb="FF1155CC"/>
        <u/>
      </rPr>
      <t>SD-106226</t>
    </r>
    <r>
      <rPr>
        <rFont val="arial, sans, sans-serif"/>
      </rPr>
      <t xml:space="preserve"> - New Subscriptions Flow KR❌
</t>
    </r>
    <r>
      <rPr>
        <rFont val="arial, sans, sans-serif"/>
        <color rgb="FF1155CC"/>
        <u/>
      </rPr>
      <t xml:space="preserve">SD-105670 </t>
    </r>
    <r>
      <rPr>
        <rFont val="arial, sans, sans-serif"/>
      </rPr>
      <t xml:space="preserve">- New Subscriptions Flow KR✅︎
</t>
    </r>
    <r>
      <rPr>
        <rFont val="arial, sans, sans-serif"/>
        <color rgb="FF1155CC"/>
        <u/>
      </rPr>
      <t>SD-107459</t>
    </r>
    <r>
      <rPr>
        <rFont val="arial, sans, sans-serif"/>
      </rPr>
      <t xml:space="preserve"> - New Subscriptions Flow✅︎</t>
    </r>
  </si>
  <si>
    <r>
      <rPr>
        <rFont val="arial, sans, sans-serif"/>
        <color rgb="FF1155CC"/>
        <u/>
      </rPr>
      <t xml:space="preserve">SD-108207 </t>
    </r>
    <r>
      <rPr>
        <rFont val="arial, sans, sans-serif"/>
      </rPr>
      <t xml:space="preserve">- Auidence Analytics ❌
</t>
    </r>
    <r>
      <rPr>
        <rFont val="arial, sans, sans-serif"/>
        <color rgb="FF1155CC"/>
        <u/>
      </rPr>
      <t xml:space="preserve">SD-104837 </t>
    </r>
    <r>
      <rPr>
        <rFont val="arial, sans, sans-serif"/>
      </rPr>
      <t xml:space="preserve">- Audience Analytics ❌
</t>
    </r>
    <r>
      <rPr>
        <rFont val="arial, sans, sans-serif"/>
        <color rgb="FF1155CC"/>
        <u/>
      </rPr>
      <t>SD-108202</t>
    </r>
    <r>
      <rPr>
        <rFont val="arial, sans, sans-serif"/>
      </rPr>
      <t xml:space="preserve"> - Audience Analytics ✅︎
</t>
    </r>
    <r>
      <rPr>
        <rFont val="arial, sans, sans-serif"/>
        <color rgb="FF1155CC"/>
        <u/>
      </rPr>
      <t>SD-108201</t>
    </r>
    <r>
      <rPr>
        <rFont val="arial, sans, sans-serif"/>
      </rPr>
      <t xml:space="preserve"> - Audience Analytics ✅︎
</t>
    </r>
    <r>
      <rPr>
        <rFont val="arial, sans, sans-serif"/>
        <color rgb="FF1155CC"/>
        <u/>
      </rPr>
      <t xml:space="preserve">SD-106228 </t>
    </r>
    <r>
      <rPr>
        <rFont val="arial, sans, sans-serif"/>
      </rPr>
      <t xml:space="preserve">- New Subscriptions Flow ✅︎
</t>
    </r>
    <r>
      <rPr>
        <rFont val="arial, sans, sans-serif"/>
        <color rgb="FF1155CC"/>
        <u/>
      </rPr>
      <t>SD-106226</t>
    </r>
    <r>
      <rPr>
        <rFont val="arial, sans, sans-serif"/>
      </rPr>
      <t xml:space="preserve"> - New Subscriptions Flow KR✅︎
</t>
    </r>
  </si>
  <si>
    <r>
      <rPr>
        <rFont val="arial, sans, sans-serif"/>
        <color rgb="FF1155CC"/>
        <u/>
      </rPr>
      <t>SD-108833</t>
    </r>
    <r>
      <rPr>
        <rFont val="arial, sans, sans-serif"/>
      </rPr>
      <t xml:space="preserve">- Auidence Analytics ❌
</t>
    </r>
    <r>
      <rPr>
        <rFont val="arial, sans, sans-serif"/>
        <color rgb="FF1155CC"/>
        <u/>
      </rPr>
      <t>SD-108699</t>
    </r>
    <r>
      <rPr>
        <rFont val="arial, sans, sans-serif"/>
      </rPr>
      <t xml:space="preserve">- Audience Analytics ✅︎
</t>
    </r>
    <r>
      <rPr>
        <rFont val="arial, sans, sans-serif"/>
        <color rgb="FF1155CC"/>
        <u/>
      </rPr>
      <t>SD-108278</t>
    </r>
    <r>
      <rPr>
        <rFont val="arial, sans, sans-serif"/>
      </rPr>
      <t xml:space="preserve"> - Audience Analytics ✅︎
</t>
    </r>
    <r>
      <rPr>
        <rFont val="arial, sans, sans-serif"/>
        <color rgb="FF1155CC"/>
        <u/>
      </rPr>
      <t>SD-108207</t>
    </r>
    <r>
      <rPr>
        <rFont val="arial, sans, sans-serif"/>
      </rPr>
      <t xml:space="preserve"> - Audience Analytics ✅︎
</t>
    </r>
    <r>
      <rPr>
        <rFont val="arial, sans, sans-serif"/>
        <color rgb="FF1155CC"/>
        <u/>
      </rPr>
      <t>SD-104837</t>
    </r>
    <r>
      <rPr>
        <rFont val="arial, sans, sans-serif"/>
      </rPr>
      <t xml:space="preserve"> - Audience Analytics ✅︎
</t>
    </r>
    <r>
      <rPr>
        <rFont val="arial, sans, sans-serif"/>
        <color rgb="FF1155CC"/>
        <u/>
      </rPr>
      <t>SD-108013</t>
    </r>
    <r>
      <rPr>
        <rFont val="arial, sans, sans-serif"/>
      </rPr>
      <t xml:space="preserve"> - Expressions ✅︎
</t>
    </r>
    <r>
      <rPr>
        <rFont val="arial, sans, sans-serif"/>
        <color rgb="FF1155CC"/>
        <u/>
      </rPr>
      <t>SD-108182</t>
    </r>
    <r>
      <rPr>
        <rFont val="arial, sans, sans-serif"/>
      </rPr>
      <t xml:space="preserve"> - Expressions ❌
</t>
    </r>
    <r>
      <rPr>
        <rFont val="arial, sans, sans-serif"/>
        <color rgb="FF1155CC"/>
        <u/>
      </rPr>
      <t>SD-108703</t>
    </r>
    <r>
      <rPr>
        <rFont val="arial, sans, sans-serif"/>
      </rPr>
      <t xml:space="preserve"> - Expressions ✅︎
</t>
    </r>
    <r>
      <rPr>
        <rFont val="arial, sans, sans-serif"/>
        <color rgb="FF1155CC"/>
        <u/>
      </rPr>
      <t>SD-108808</t>
    </r>
    <r>
      <rPr>
        <rFont val="arial, sans, sans-serif"/>
      </rPr>
      <t xml:space="preserve"> - Expressions ✅︎
</t>
    </r>
    <r>
      <rPr>
        <rFont val="arial, sans, sans-serif"/>
        <color rgb="FF1155CC"/>
        <u/>
      </rPr>
      <t>SD-108829</t>
    </r>
    <r>
      <rPr>
        <rFont val="arial, sans, sans-serif"/>
      </rPr>
      <t xml:space="preserve"> - Expressions ❌
</t>
    </r>
  </si>
  <si>
    <r>
      <rPr>
        <rFont val="arial, sans, sans-serif"/>
        <color rgb="FF1155CC"/>
        <u/>
      </rPr>
      <t>SD-109437</t>
    </r>
    <r>
      <rPr>
        <rFont val="arial, sans, sans-serif"/>
      </rPr>
      <t xml:space="preserve">- Auidence Analytics  ✅︎ (ready for release)
</t>
    </r>
    <r>
      <rPr>
        <rFont val="arial, sans, sans-serif"/>
        <color rgb="FF1155CC"/>
        <u/>
      </rPr>
      <t xml:space="preserve">SD-109386 </t>
    </r>
    <r>
      <rPr>
        <rFont val="arial, sans, sans-serif"/>
      </rPr>
      <t xml:space="preserve">- Audience Analytics ✅︎
</t>
    </r>
    <r>
      <rPr>
        <rFont val="arial, sans, sans-serif"/>
        <color rgb="FF1155CC"/>
        <u/>
      </rPr>
      <t>SD-109372</t>
    </r>
    <r>
      <rPr>
        <rFont val="arial, sans, sans-serif"/>
      </rPr>
      <t xml:space="preserve"> - Audience Analytics ✅︎
</t>
    </r>
    <r>
      <rPr>
        <rFont val="arial, sans, sans-serif"/>
        <color rgb="FF1155CC"/>
        <u/>
      </rPr>
      <t>SD-108833</t>
    </r>
    <r>
      <rPr>
        <rFont val="arial, sans, sans-serif"/>
      </rPr>
      <t xml:space="preserve"> - Audience Analytics ✅︎
</t>
    </r>
  </si>
  <si>
    <t xml:space="preserve">Completing all the post incident and bugs </t>
  </si>
  <si>
    <t>Moving 2 KRs to Monitoring (Audience Analytics &amp; Expressions) Doing all necessary actions for Profile-based Subs Finishing all bugs</t>
  </si>
  <si>
    <t>Speed Improvement Tasks to be deployed</t>
  </si>
  <si>
    <t>Reza</t>
  </si>
  <si>
    <t>Abdulrhman Al-mahaini</t>
  </si>
  <si>
    <t>Laith Atik</t>
  </si>
  <si>
    <t>Oleksandr Serhieiev</t>
  </si>
  <si>
    <t>Deniz Parlar</t>
  </si>
  <si>
    <t>Kenan Asadov</t>
  </si>
  <si>
    <t>Sefa Alp</t>
  </si>
  <si>
    <t>Ridvan Berkay Cetin</t>
  </si>
  <si>
    <t>Evgeny</t>
  </si>
  <si>
    <t>Hossin</t>
  </si>
  <si>
    <t>Yevheniia</t>
  </si>
  <si>
    <t>Done Average</t>
  </si>
  <si>
    <t>QA Average</t>
  </si>
  <si>
    <t>Done Average (wout kenan)
and reza is avg 35 SP</t>
  </si>
  <si>
    <t>Mythbusters</t>
  </si>
  <si>
    <t>AVERAGE SP</t>
  </si>
  <si>
    <t>TOTAL SP</t>
  </si>
  <si>
    <t>05/01/2024 -19/01/2024</t>
  </si>
  <si>
    <t>19/01/2024 - 02/02/2024</t>
  </si>
  <si>
    <t>02/02/2024 - 16/02/2024</t>
  </si>
  <si>
    <t>16/02/2024 - 01/03/2024</t>
  </si>
  <si>
    <t>01/03/2024 - 15/03/2024</t>
  </si>
  <si>
    <t>15/03/2024 - 29/03/2023</t>
  </si>
  <si>
    <t>29/03/2024 - 19/03/2024</t>
  </si>
  <si>
    <t>19/03/2024 - 03/05/2024</t>
  </si>
  <si>
    <t>17/05/2024-31/05/2024</t>
  </si>
  <si>
    <t>31/05/2024-14/06/2024</t>
  </si>
  <si>
    <t>14/06/2024-05/07/2024</t>
  </si>
  <si>
    <t>Mythbusters 24#1</t>
  </si>
  <si>
    <t>Mythbusters 24#2</t>
  </si>
  <si>
    <t>Mythbusters 24#3</t>
  </si>
  <si>
    <t>Mythbusters 24#4</t>
  </si>
  <si>
    <t>Mythbusters 24#5</t>
  </si>
  <si>
    <t>Mythbusters 24#6</t>
  </si>
  <si>
    <t>Mythbusters 24#7</t>
  </si>
  <si>
    <t>Mythbusters 24#8</t>
  </si>
  <si>
    <t>Mythbusters 24#9</t>
  </si>
  <si>
    <t>Mythbusters 24#10</t>
  </si>
  <si>
    <t>Mythbusters 24#11</t>
  </si>
  <si>
    <t>Mythbusters 24#12</t>
  </si>
  <si>
    <t>Mythbusters 24#13</t>
  </si>
  <si>
    <t>Mythbusters 24#14</t>
  </si>
  <si>
    <t>Mythbusters 24#15</t>
  </si>
  <si>
    <t>Mythbusters 24#16</t>
  </si>
  <si>
    <t>Mythbusters 24#17</t>
  </si>
  <si>
    <t>1. Enigma API transition tasks to be Ready for Release (SD-99617, SD-99618)
2. Analytics Consistency tasks to be AR (SD-98486, SD-89382, SD-89380, SD-98483, SD-98485).</t>
  </si>
  <si>
    <t>1. Enigma API KR to be released on PROD and ready for UAT camp (SD-99715, SD-100216); 2. Template library to be AR (SD-99004, SD-100391, SD-98725, SD-99003)</t>
  </si>
  <si>
    <t>1. Template Library (SD-100810 Released, SD-98727, SD-100813, SD-98662, SD-100966 Awaiting Release)</t>
  </si>
  <si>
    <t>Template Library is working on production and user is able to create/edit templates in HTML editor (SD-100811, SD-101206, SD-99005, SD-101205, SD-101210, SD-101409, SD-101468).</t>
  </si>
  <si>
    <t>1. Template Library - PM can edit template in HTML editor and use this custom template in the campaign (MVP scope to be done); 2. Enigma API - Mythbusters part of KR blockers to be released on PROD. Template Library: SD-102258 SD-102046 SD-102093 SD-102098 SD-102335 SD-102335 SD-101210 SD-102244 Enigma API blocker: SD-101454 SD-101453</t>
  </si>
  <si>
    <t>1. Template Library: MVP scope done and available for UAT camp (SD-101210 Released; SD-103146, SD-102723, SD-102725, SD-102498, SD-101454).</t>
  </si>
  <si>
    <t>1. Template Library: Be able to store all possible Stripo template configs (recommendation, unsubscribe) ✅  
2. Create an endpoint to collect the mobile revenue from UCD create endpoint. ❌</t>
  </si>
  <si>
    <t>1. Template Library Complete Stripo and get ready for migration❌ 
2. Conversion from app to be live ❌</t>
  </si>
  <si>
    <t>Email Template Library is ready for Beta (release all beta blockers)  ✅</t>
  </si>
  <si>
    <t>ETL blockers and improvements to be released and feature opened for beta partners.✅</t>
  </si>
  <si>
    <t>1. Open template library for 2nd batch of beta partners and resolve any blockers for the feature usage if any. ✅ (used a work around instead) 
2. Resolving dependency on DS -- Micro-frontend tasks are awaiting release. ❌</t>
  </si>
  <si>
    <t>1. Migration of Email and Architect templates for ETL (batch 1-4) to be completed ❌
2. ETL related tasks to be released ❌</t>
  </si>
  <si>
    <t>1. Release ETL tasks and get ready for all partners migration (SD-108817, SD-108174, SD-106625, SD-106904, SD-106905) ❌; 2. Fix Enigma blockers (SD-105007, SD-104431, SD-108738, SD-108737)✅  .</t>
  </si>
  <si>
    <t>1. Get closed to Enigma transition: release tasks on prod (SD-105010, SD-105005, SD-109332, SD-105006, SD-104149, SD-109008) ❌;</t>
  </si>
  <si>
    <t xml:space="preserve">1. Enigma API blockers to be released and QA camp done ✅ ; 2. Mobile App Conversion task to be live.✅ </t>
  </si>
  <si>
    <t>1. Finish Enigma blockers, get ready for 1st batch transition ❌</t>
  </si>
  <si>
    <t>Andrew</t>
  </si>
  <si>
    <t>Anton</t>
  </si>
  <si>
    <t>Doğukan</t>
  </si>
  <si>
    <t>İrem</t>
  </si>
  <si>
    <t>Enes</t>
  </si>
  <si>
    <t>Nikita</t>
  </si>
  <si>
    <t>Sinem</t>
  </si>
  <si>
    <t>Gorkem</t>
  </si>
  <si>
    <t>Rostyslav</t>
  </si>
  <si>
    <t>Vitalii</t>
  </si>
  <si>
    <t>Görkem</t>
  </si>
  <si>
    <t>Ghostbusters</t>
  </si>
  <si>
    <t>28.03 - 18.04</t>
  </si>
  <si>
    <t>18.04 - 16.05</t>
  </si>
  <si>
    <t>Ghostbusters 24#1</t>
  </si>
  <si>
    <t>Ghostbusters 24#2</t>
  </si>
  <si>
    <t>Ghostbusters 24#3</t>
  </si>
  <si>
    <t>Ghostbusters 24#4</t>
  </si>
  <si>
    <t>Ghostbusters 24#5</t>
  </si>
  <si>
    <t>Ghostbusters 24#6</t>
  </si>
  <si>
    <t>Ghostbusters 24#7</t>
  </si>
  <si>
    <t>Ghostbusters 24#8</t>
  </si>
  <si>
    <t>Ghostbusters 24#10</t>
  </si>
  <si>
    <t>Ghostbusters 24#11</t>
  </si>
  <si>
    <t>Ghostbusters 24#12</t>
  </si>
  <si>
    <t>Ghostbusters 24#13</t>
  </si>
  <si>
    <t>Ghostbusters 24#14</t>
  </si>
  <si>
    <t>Ghostbusters 24#15</t>
  </si>
  <si>
    <t>Ghostbusters 24#16</t>
  </si>
  <si>
    <t>Ghostbusters 24#17</t>
  </si>
  <si>
    <t>Ghostbusters 24#18</t>
  </si>
  <si>
    <t>Ghostbusters 24#19</t>
  </si>
  <si>
    <t>Localisation tasks to be awaiting release (SD-99093, SD-97413, SD-98509, SD-99589, SD-97399).</t>
  </si>
  <si>
    <t>Localization feature to be testable in production, PM is able to launch multi-language campaign.</t>
  </si>
  <si>
    <t>Create localization campaign and send it from launch step without any "tricks"</t>
  </si>
  <si>
    <t>Localization: Resolving MVP blockers for validation and launch step.</t>
  </si>
  <si>
    <t>Localization MVP to be ready for Live UAT Camp and opened for automation partners.</t>
  </si>
  <si>
    <t>Localization:conduct Live UAT Camp and resolve blockers for Beta.</t>
  </si>
  <si>
    <t>1. Localization is stable and ready for Beta. 2. List-Unsubscribe task is live.</t>
  </si>
  <si>
    <t>1. Deliver View In Browser feature. 
2. Product stabilisation (resolve SLA bugs + incident actions). Total SG effort 130S</t>
  </si>
  <si>
    <t>1. Releasing Automated Unsubscribe popup before Bayram starts; 2. Stabilization: resolving bug tasks.</t>
  </si>
  <si>
    <t>1. US Readiness task. 2. Bug tasks</t>
  </si>
  <si>
    <t>Resolving Bugs. Stabilization sprint</t>
  </si>
  <si>
    <t>Omnibus price, micro-fe, pony-express</t>
  </si>
  <si>
    <t>Omnibus price, pony-express</t>
  </si>
  <si>
    <t>pony-express</t>
  </si>
  <si>
    <t>localization panel listing page</t>
  </si>
  <si>
    <t>localization design step issues</t>
  </si>
  <si>
    <t>(vacation)</t>
  </si>
  <si>
    <t>toggles</t>
  </si>
  <si>
    <t>Murat</t>
  </si>
  <si>
    <t>localization panel design step backend</t>
  </si>
  <si>
    <t>localization design step issues, Pony express</t>
  </si>
  <si>
    <t>terraform, pony express</t>
  </si>
  <si>
    <t>Email Service - Localization Test Functionality, pony express</t>
  </si>
  <si>
    <t>localization design step,
pony express</t>
  </si>
  <si>
    <t>[localization] launch step test email backend</t>
  </si>
  <si>
    <t>pony express, terraform, enable recommendation</t>
  </si>
  <si>
    <t>Vlad</t>
  </si>
  <si>
    <t>localization panel design step frontend</t>
  </si>
  <si>
    <t xml:space="preserve">Finish design step functionality, Fix design editors </t>
  </si>
  <si>
    <t>[FE] Add design step validations
[FE] Add skeleton values and loading statuses</t>
  </si>
  <si>
    <t>localization launch step</t>
  </si>
  <si>
    <t xml:space="preserve">	
[FE] implement launchV2 validations</t>
  </si>
  <si>
    <t>launchV2 issues, unsubscribe issues</t>
  </si>
  <si>
    <t>localization content api backwards compatibility</t>
  </si>
  <si>
    <t>Content API</t>
  </si>
  <si>
    <t>localization launch step validations</t>
  </si>
  <si>
    <t xml:space="preserve">	
[Localization] Campaign Duplicate feature</t>
  </si>
  <si>
    <t>duplication endpoint, timer</t>
  </si>
  <si>
    <t>Honey Badger - Localization Test Functionality</t>
  </si>
  <si>
    <t>[FE] fixes for launchV2: send later + recurring campaigns</t>
  </si>
  <si>
    <t>content api</t>
  </si>
  <si>
    <t>Hasan Alay</t>
  </si>
  <si>
    <t>Omer</t>
  </si>
  <si>
    <t>Elnara</t>
  </si>
  <si>
    <t>Oleksandr</t>
  </si>
  <si>
    <t>Yunus Emre</t>
  </si>
  <si>
    <t>Tugba</t>
  </si>
  <si>
    <t>Total Done Effort</t>
  </si>
  <si>
    <t>Grooming Presenter</t>
  </si>
  <si>
    <t>Samaritan</t>
  </si>
  <si>
    <t>27.12 - 10.01</t>
  </si>
  <si>
    <t>10.01 - 24.01</t>
  </si>
  <si>
    <t>24.01 - 07.02</t>
  </si>
  <si>
    <t>07.02 - 21.02</t>
  </si>
  <si>
    <t>21.02 - 06.03</t>
  </si>
  <si>
    <t>06.03 - 20.03</t>
  </si>
  <si>
    <t>20.03 - 03.04</t>
  </si>
  <si>
    <t>03.04 - 17.04</t>
  </si>
  <si>
    <t>17.04 - 01.05</t>
  </si>
  <si>
    <t>01.05 - 15.05</t>
  </si>
  <si>
    <t>15.05 - 29.05</t>
  </si>
  <si>
    <t>29.05 - 07.06</t>
  </si>
  <si>
    <t>07.06 - 26.06</t>
  </si>
  <si>
    <t>26.06 - 10.07</t>
  </si>
  <si>
    <t>10.07 - 24.07</t>
  </si>
  <si>
    <t>24.07 - 07.08</t>
  </si>
  <si>
    <t>07.08 - 21.08</t>
  </si>
  <si>
    <t>21.08 - 04.09</t>
  </si>
  <si>
    <t>04.09 - 18.09</t>
  </si>
  <si>
    <t>18.09 - 02.10</t>
  </si>
  <si>
    <t>02.10 - 16-10</t>
  </si>
  <si>
    <t>#394 - Samaritan</t>
  </si>
  <si>
    <t>#396 - Samaritan</t>
  </si>
  <si>
    <t>#398 - Samaritan</t>
  </si>
  <si>
    <t>#400 - Samaritan</t>
  </si>
  <si>
    <t>#402 - Samaritan</t>
  </si>
  <si>
    <t>#404 - Samaritan</t>
  </si>
  <si>
    <t>#406 - Samaritan - Broken 💔s</t>
  </si>
  <si>
    <t>#408 - Samaritan - 💔 of GLU</t>
  </si>
  <si>
    <t>#410 - Samaritan</t>
  </si>
  <si>
    <t>#412 - Samaritan</t>
  </si>
  <si>
    <t>#414 - Samaritan</t>
  </si>
  <si>
    <t>#416 - Samaritan</t>
  </si>
  <si>
    <t>#418 - Samaritan</t>
  </si>
  <si>
    <t>#420 - Samaritan</t>
  </si>
  <si>
    <t>#422 - Samaritan</t>
  </si>
  <si>
    <t>#424 - Samaritan</t>
  </si>
  <si>
    <t>#426 - Samaritan</t>
  </si>
  <si>
    <t>#428 - Samaritan</t>
  </si>
  <si>
    <t>#430 - Samaritan</t>
  </si>
  <si>
    <t>#432 - Samaritan</t>
  </si>
  <si>
    <t>#434 - Samaritan</t>
  </si>
  <si>
    <t>Non-Bug Emerged</t>
  </si>
  <si>
    <t>Total Design Effort In the Sprint</t>
  </si>
  <si>
    <t>Commited Design Effort</t>
  </si>
  <si>
    <t>Done Design Effort</t>
  </si>
  <si>
    <t>Success Rate</t>
  </si>
  <si>
    <t>UX Improvement (%)</t>
  </si>
  <si>
    <t>GLU: release On Even&amp;Attribute starters + Exit Criteria to be awaiting release\nfix automation for Wait for Event&amp;Attribute\n\nNBC: both tasks to be awaiting release (deployment deadline at 15th Jan)</t>
  </si>
  <si>
    <t>GLU + NBC tasks to be awaiting release\nGLU wait for event attribute tasks to be released\nAutomation fix task to be done</t>
  </si>
  <si>
    <t>GLU exit criteria to be deployed\nCanvas refactor + GLU + analytics refactor tasks to be awaiting release</t>
  </si>
  <si>
    <t>GLU + Analytics Refactor +Saving Call an API Template + Canvas Refactor tasks to be awaiting release</t>
  </si>
  <si>
    <t>GLU On dynamic date deployment\nFlagged GLU tasks, New Canvas, Analytics Refactor and Channel Metrics tasks to be awaiting release</t>
  </si>
  <si>
    <t>GLU + New Canvas + Analytics Refactor tasks to be awaiting release + Automations for dynamic content</t>
  </si>
  <si>
    <t>Canvas Refactor + Call an API Response tasks to be released\nGLU + Analytics Refactor tasks to be awaiting release</t>
  </si>
  <si>
    <t>Smart Journey to be released\nGLU, Analytics Refactor and flagged fixes to be awaiting release</t>
  </si>
  <si>
    <t>Consistent Coupons BE+FE release with feature flag\nGLU segmentation package to be released\nAutomation fixes to be released\nGLU tasks to be awaiting release</t>
  </si>
  <si>
    <t>All sprint goal tasks to be deployed</t>
  </si>
  <si>
    <t>Paracetamol and View through Enigma Task to be AR, Others to be deployed</t>
  </si>
  <si>
    <t>All goal tasks to be deployed except; VTC FE Research</t>
  </si>
  <si>
    <t>View-through and Canvas tasks to be released  Goal and Exit Criteria Improvements to be awaiting release</t>
  </si>
  <si>
    <t>attribute change addition for exit/goals to be released canvas v2 journey versioning to be released view through conversion + kube fix + segmentation refactor + coupon integration tasks to be awaiting release</t>
  </si>
  <si>
    <t>Canvas tasks to be deployed Creating tag API task to be awaiting release Research tasks to be completed</t>
  </si>
  <si>
    <t>Expression tasks to be awaiting release AI analytics assistant+canvasv2+Inapp and onsite proceed users logic change tasks to be released</t>
  </si>
  <si>
    <t>SD-11584- Awaiting Release All other goal tasks to be Released</t>
  </si>
  <si>
    <t>Localization Research to be completed Export API tasks + Hepsiburada task + Event Conversion task to be released Automation Cases Fix to be completed</t>
  </si>
  <si>
    <t>Abdurrahman Said Aslan</t>
  </si>
  <si>
    <t>Ahmad Masabni</t>
  </si>
  <si>
    <t>Ahmet Kerem Gündüz</t>
  </si>
  <si>
    <t>Blazenko Davidoviç</t>
  </si>
  <si>
    <t>Bríana Walsh</t>
  </si>
  <si>
    <t>Beste Morgul</t>
  </si>
  <si>
    <t>Can Karademir</t>
  </si>
  <si>
    <t>Emre Kaya</t>
  </si>
  <si>
    <t>Evgeniy Areshkin</t>
  </si>
  <si>
    <t>Mustafa Çörekçi</t>
  </si>
  <si>
    <t>Nour Alsadat</t>
  </si>
  <si>
    <t>Oğuzhan Arnak</t>
  </si>
  <si>
    <t>Pelin Tok</t>
  </si>
  <si>
    <t>Pınar Tezcan</t>
  </si>
  <si>
    <t>Rashad Nasirli</t>
  </si>
  <si>
    <t>Vitaly Schekin</t>
  </si>
  <si>
    <t>Bytemasters - Unix</t>
  </si>
  <si>
    <t>28/12 - 11/01</t>
  </si>
  <si>
    <t>11/01 - 25/01</t>
  </si>
  <si>
    <t>25/01 - 08/02</t>
  </si>
  <si>
    <t>08/02 - 22/02</t>
  </si>
  <si>
    <t>22/02 - 07/03</t>
  </si>
  <si>
    <t>07/03 - 21/03</t>
  </si>
  <si>
    <t>21/03 - 04/04</t>
  </si>
  <si>
    <t>04/04 - 18/04</t>
  </si>
  <si>
    <t>18/04 - 02/05</t>
  </si>
  <si>
    <t>02/05 - 16/05</t>
  </si>
  <si>
    <t>16/05 - 30/05</t>
  </si>
  <si>
    <t>30/05 - 12/06</t>
  </si>
  <si>
    <t>13/06 - 27/06</t>
  </si>
  <si>
    <t>27/06 - 11/07</t>
  </si>
  <si>
    <t>11/07 - 26/07</t>
  </si>
  <si>
    <t>26/07 - 08/08</t>
  </si>
  <si>
    <t>08/08 - 22/08</t>
  </si>
  <si>
    <t>22/08 - 05/09</t>
  </si>
  <si>
    <t>05/09 - 24/09</t>
  </si>
  <si>
    <t>24/09 - 03/10</t>
  </si>
  <si>
    <t>#394</t>
  </si>
  <si>
    <t>#396</t>
  </si>
  <si>
    <t>#398</t>
  </si>
  <si>
    <t>#400</t>
  </si>
  <si>
    <t>#402</t>
  </si>
  <si>
    <t>#404</t>
  </si>
  <si>
    <t>#406</t>
  </si>
  <si>
    <t>#408</t>
  </si>
  <si>
    <t>#410</t>
  </si>
  <si>
    <t>#412</t>
  </si>
  <si>
    <t>#414</t>
  </si>
  <si>
    <t>#416</t>
  </si>
  <si>
    <t>#418</t>
  </si>
  <si>
    <t>#420</t>
  </si>
  <si>
    <t>#422</t>
  </si>
  <si>
    <t>#424</t>
  </si>
  <si>
    <t>#426</t>
  </si>
  <si>
    <t>#428</t>
  </si>
  <si>
    <t>#430</t>
  </si>
  <si>
    <t>#432</t>
  </si>
  <si>
    <t>New Canvas + Group Level Access + Count Bubble + Overage Pricing + Control Group Tasks to be AR &amp; Deploy Control Group</t>
  </si>
  <si>
    <t>CG + Count Bubble + Pricing + Email ID + Troubleshooting + Character Count to AR + Deploy Group Level Access</t>
  </si>
  <si>
    <t>Canvas Refactor
Smart Journey
CG to AR 
Deployment for Incident Task</t>
  </si>
  <si>
    <t>CG
Smart
Canvas
UTM
Remove Class
to be AR</t>
  </si>
  <si>
    <t>Migration Tasks (Tech Debt + Hepsiburada) 
Canvas KR
Smart Journey
 Pricing Tasks to AR</t>
  </si>
  <si>
    <t>Canvas Smart Journey
Evercopy tasks to AR</t>
  </si>
  <si>
    <t>Canvas &amp; Dmitry's &amp; Incident Actions tasks to AR + Evercopy to be Deployed</t>
  </si>
  <si>
    <t>Coupon + Hepsiburada segmentation + CG + Dynamic Content + Canvas to AR + Prevent sending empty dynamic content to Deploy</t>
  </si>
  <si>
    <t>dynamic content to be deployed &amp; glu + canvas + coupon + Whatsapp and CG to AR</t>
  </si>
  <si>
    <t>whatsapp tasks to AR &amp; localization +  canvas + empty dynamic content to be deployed</t>
  </si>
  <si>
    <t>Deployment for canvas v2 + prevent dynamic + testing ttl + localization + hepsiburada + segment support + reasoning &amp; AR for credentials</t>
  </si>
  <si>
    <t>Deployment for Canvas v2 + TıklaGelsin + Slack Clean-up + Localization &amp; AR for Unsubs + Call an API</t>
  </si>
  <si>
    <t>Evercopy + Html Editor + Canvas + Test message to be AR
hepsiburada task to be Deployed</t>
  </si>
  <si>
    <t>canvas v2 + call api + wait + cg + testing security to be done &amp;  extended path to be AR</t>
  </si>
  <si>
    <t>canvas v2 + localization metadata + hepsiburadamerchant + us date + smart journey + template library to deployment &amp; localization updates to AR</t>
  </si>
  <si>
    <t>Localization  + InApp/OnSite + Smart Journey + Canvas v2 + Ad Audiences + Template Library + Unique Event Conversion to be deployed</t>
  </si>
  <si>
    <t>canvas v2 + unique conversion to Deployment + Expression &amp; CG to AR</t>
  </si>
  <si>
    <t>Expressions &amp; Canvas v2 &amp; Optimizer  to Deployment + CG to be AR</t>
  </si>
  <si>
    <t>CG logic change &amp; Localization Validation &amp; US Readiness &amp; Export to AR &amp; CG + Localization + Canvas v2 to Deployment</t>
  </si>
  <si>
    <t>Localization to AR + A/B Split CG to Deployment</t>
  </si>
  <si>
    <t>Localization &amp; ABCG to AR + Arc-level CG &amp; stripo &amp; US email to Deployment</t>
  </si>
  <si>
    <t>Abdullah Çanakçı</t>
  </si>
  <si>
    <t>Alexander Korotkov</t>
  </si>
  <si>
    <t>Ali Osman Menekşe</t>
  </si>
  <si>
    <t>Briana Walsh</t>
  </si>
  <si>
    <t>Dmitry Androsov</t>
  </si>
  <si>
    <t>Doğu Özcan</t>
  </si>
  <si>
    <t>Enes Yenidoğan</t>
  </si>
  <si>
    <t>Ertuğrul Akça</t>
  </si>
  <si>
    <t>Gamze Nurcan Polat</t>
  </si>
  <si>
    <t>Işıl Hande Süer</t>
  </si>
  <si>
    <t>Leyla Meram</t>
  </si>
  <si>
    <t>Nejdet Arslan</t>
  </si>
  <si>
    <t>Seren Beskok</t>
  </si>
  <si>
    <t>Sercan Çakır</t>
  </si>
  <si>
    <t>Yaprak Demirci</t>
  </si>
  <si>
    <t>Zeyneb Yılmaz</t>
  </si>
  <si>
    <t>Ozan Karali</t>
  </si>
  <si>
    <t>Yuriy Lykhusha</t>
  </si>
  <si>
    <t>Minerva</t>
  </si>
  <si>
    <t>04.01 - 18.01</t>
  </si>
  <si>
    <t>18.01 - 02.02</t>
  </si>
  <si>
    <t>02.02 - 16.02</t>
  </si>
  <si>
    <t>16.02 - 01.03</t>
  </si>
  <si>
    <t>01.03 - 15.03</t>
  </si>
  <si>
    <t>15.03 - 29.03</t>
  </si>
  <si>
    <t>29.03 - 05.04</t>
  </si>
  <si>
    <t>15.04 - 26.04</t>
  </si>
  <si>
    <t>26.04 - 10.05</t>
  </si>
  <si>
    <t>10.05 - 24.05</t>
  </si>
  <si>
    <t>24.05 - 07.06</t>
  </si>
  <si>
    <t>07.06 - 20.06</t>
  </si>
  <si>
    <t>20.06 - 04.07</t>
  </si>
  <si>
    <t>04.07 - 19.07</t>
  </si>
  <si>
    <t>19.07 -  02.08</t>
  </si>
  <si>
    <t>30.08 - 13.09</t>
  </si>
  <si>
    <t>13.09 - 27.09</t>
  </si>
  <si>
    <t>27.09 - 11.10</t>
  </si>
  <si>
    <t xml:space="preserve">11.10 - </t>
  </si>
  <si>
    <t>Pluto the Planet</t>
  </si>
  <si>
    <t>Cosmic Cuddles</t>
  </si>
  <si>
    <t>Celestial Acceleration</t>
  </si>
  <si>
    <t>Meteorite Momentum</t>
  </si>
  <si>
    <t>Interstellar Innovation</t>
  </si>
  <si>
    <t>Galactic Odyssey</t>
  </si>
  <si>
    <t>Stellar Feast Candy</t>
  </si>
  <si>
    <t>Astral Adventures</t>
  </si>
  <si>
    <t>Galactic Conversations</t>
  </si>
  <si>
    <t>Quantum Quests</t>
  </si>
  <si>
    <t>Black Hole Breakthrough</t>
  </si>
  <si>
    <t>Cosmos Blaze</t>
  </si>
  <si>
    <t>Starlight Dash</t>
  </si>
  <si>
    <t>Galaxy Gateway</t>
  </si>
  <si>
    <t>Lunar Leap</t>
  </si>
  <si>
    <t>Aurora Amore</t>
  </si>
  <si>
    <t>Stellar Voyage</t>
  </si>
  <si>
    <t>Solar Flare</t>
  </si>
  <si>
    <t>Stellar Symphony</t>
  </si>
  <si>
    <t>Luna Solstice</t>
  </si>
  <si>
    <t>Nova Nexus</t>
  </si>
  <si>
    <t>Commited KR Effort</t>
  </si>
  <si>
    <t>Implement wait decision &amp; finalize filling starter elements prompt</t>
  </si>
  <si>
    <t>Implement combined segments &amp; complete tasks for filled elements</t>
  </si>
  <si>
    <t>Releasing starter and wait element contents, completing smarter check interactions research</t>
  </si>
  <si>
    <t>Releasing smart placement of Check Conditions/Interaction elements on journey structure, finalize prototype for Check Conditions content, iterate wait element contents</t>
  </si>
  <si>
    <t>Releasing content for Check Condition and Check Interaction elements &amp; Refining Starter Element prompt as a prototype</t>
  </si>
  <si>
    <t>Release Revised Starters, Complete Prompt Iterations for Check and Wait Elements</t>
  </si>
  <si>
    <t>Releasing Smart Journey Iterations (Wait &amp; Price-drop) and Completing Actionable Insights Data Flow Research</t>
  </si>
  <si>
    <t>Actionable Insights Q&amp;A Research and Smart Journey Check Elements Improvements</t>
  </si>
  <si>
    <t>- Completing Smart Journey Iterations
- Releasing Journey Reasoning
- Improving the Actionable Insights Prototype</t>
  </si>
  <si>
    <t>Completing Insights Assistant Tech Design and Journey Edit Tech Design &amp; Researches</t>
  </si>
  <si>
    <t>Research for Journey Edit Mode and Insight Assistant + GPT-4o Support</t>
  </si>
  <si>
    <t>Insight Assistant Research, Journey Edit Intent Detection, Smart Segment Multi-segment</t>
  </si>
  <si>
    <t>- Deploying semi-functional Conversational Journey Endpoint
- Functioning data prompt builder for Insight Assistant</t>
  </si>
  <si>
    <t>Functional Insights Assistant Endpoint &amp; Functional Conversational Journey Edit Actions</t>
  </si>
  <si>
    <t>Fully Working Insights Assistant - Fully Working Conversational Journey with no FE Block</t>
  </si>
  <si>
    <t>Finalizing the Development of Conversation Journey KR</t>
  </si>
  <si>
    <t>Performance focused prompt engineering for all Smart Journey prompts</t>
  </si>
  <si>
    <t>Improving Smart Journey &amp; Initializing Content Generation</t>
  </si>
  <si>
    <t>Implementing the Conversational Journey Content Phase</t>
  </si>
  <si>
    <t>Query Generation Prototype Finalization</t>
  </si>
  <si>
    <t>Completing Tech Designs and Product Data Integration Research</t>
  </si>
  <si>
    <t>Planned Sprint KR Effort (%)</t>
  </si>
  <si>
    <t>Sprint Dev Participation</t>
  </si>
  <si>
    <t xml:space="preserve">Sprint Goal Dev Participation </t>
  </si>
  <si>
    <t>Team Member Participation</t>
  </si>
  <si>
    <t>Alper Demirel</t>
  </si>
  <si>
    <t>Ceren Güzelgün</t>
  </si>
  <si>
    <t>Çağla Özen</t>
  </si>
  <si>
    <t>Deniz Parmaksız</t>
  </si>
  <si>
    <t>Didem Makaroğlu</t>
  </si>
  <si>
    <t>Muratcan Ünsal</t>
  </si>
  <si>
    <t>Şeyma Çavdar</t>
  </si>
  <si>
    <t>Ezgi Adıgüzel</t>
  </si>
  <si>
    <t>Emre Öney</t>
  </si>
  <si>
    <t>Team Members</t>
  </si>
  <si>
    <t>Ozan Kızılkaya</t>
  </si>
  <si>
    <t>Valorem</t>
  </si>
  <si>
    <t>04 JAN - 17 JAN</t>
  </si>
  <si>
    <t>18 JAN - 31 JAN</t>
  </si>
  <si>
    <t>01 FEB - 14 FEB</t>
  </si>
  <si>
    <t>15 FEB - 29 FEB</t>
  </si>
  <si>
    <t>01 MAR - 14 MAR</t>
  </si>
  <si>
    <t>15 MAR - 28 MAR</t>
  </si>
  <si>
    <t>29 MAR - 25 APR</t>
  </si>
  <si>
    <t>26 Apr - 09 MAY</t>
  </si>
  <si>
    <t>10 MAY - 23 MAY</t>
  </si>
  <si>
    <t>24 MAY - 13 JUN</t>
  </si>
  <si>
    <t>13 JUN - 05 JUL</t>
  </si>
  <si>
    <t xml:space="preserve"> 05 JUL - 18 JUL</t>
  </si>
  <si>
    <t>19 JUL - 01 AUG</t>
  </si>
  <si>
    <t>02 AUG-15 AUG</t>
  </si>
  <si>
    <t>16 AUG - 29 AUG</t>
  </si>
  <si>
    <t>01 SEP - 12 SEP</t>
  </si>
  <si>
    <t>13 SEP - 26 SEP</t>
  </si>
  <si>
    <t>27 SEP - 10 OCT</t>
  </si>
  <si>
    <t>11 OCT - 26 OCT</t>
  </si>
  <si>
    <t>uyudun mu?</t>
  </si>
  <si>
    <t>ben uyumadım da..</t>
  </si>
  <si>
    <t>Aleyküm Slay Fırfır💅</t>
  </si>
  <si>
    <t>Rızzık Zamanı Valohan</t>
  </si>
  <si>
    <t>we💜u Aysun</t>
  </si>
  <si>
    <t>Dolu Dolu Valorem 🕋</t>
  </si>
  <si>
    <t xml:space="preserve">Vol #63 </t>
  </si>
  <si>
    <t>Vol #64</t>
  </si>
  <si>
    <t>Vol #65</t>
  </si>
  <si>
    <t>Vol #66</t>
  </si>
  <si>
    <t>Vol #67</t>
  </si>
  <si>
    <t>Vol #68</t>
  </si>
  <si>
    <t>Vol #69</t>
  </si>
  <si>
    <t>Vol #70</t>
  </si>
  <si>
    <t>IremBehind 🤯</t>
  </si>
  <si>
    <t>Finduk In Europe</t>
  </si>
  <si>
    <t>Vol #73
Notification Center🔔</t>
  </si>
  <si>
    <t>Vol #74: Canın Sağ Olsunnn 🚬</t>
  </si>
  <si>
    <t xml:space="preserve">
Vol #75: Limit Makarası🪝</t>
  </si>
  <si>
    <t>Solving blocker tasks for Enigma Implementation (PA-24929 &amp; PA-24917)</t>
  </si>
  <si>
    <t>- Completing OSA &amp; Export Fixes for Enigma Implementation &amp; Conducting QA Camp
- Completing Incident Actions</t>
  </si>
  <si>
    <t>Enigma Feature Flag Ready to Live</t>
  </si>
  <si>
    <t>Enabling Enigma Transition at least 1 Partner in Live &amp; Completing GLA for HP, OSA &amp; Recurring Export</t>
  </si>
  <si>
    <r>
      <rPr>
        <rFont val="arial, sans, sans-serif"/>
        <b/>
        <color theme="1"/>
        <sz val="8.0"/>
      </rPr>
      <t>Resolving Performance Issues</t>
    </r>
    <r>
      <rPr>
        <rFont val="arial, sans, sans-serif"/>
        <color theme="1"/>
        <sz val="8.0"/>
      </rPr>
      <t xml:space="preserve"> &amp;</t>
    </r>
    <r>
      <rPr>
        <rFont val="arial, sans, sans-serif"/>
        <b/>
        <color theme="1"/>
        <sz val="8.0"/>
      </rPr>
      <t xml:space="preserve"> </t>
    </r>
    <r>
      <rPr>
        <rFont val="arial, sans, sans-serif"/>
        <color theme="1"/>
        <sz val="8.0"/>
      </rPr>
      <t>Live for Small &amp; Semi-Enterprise</t>
    </r>
    <r>
      <rPr>
        <rFont val="arial, sans, sans-serif"/>
        <b/>
        <color theme="1"/>
        <sz val="8.0"/>
      </rPr>
      <t xml:space="preserve"> </t>
    </r>
    <r>
      <rPr>
        <rFont val="arial, sans, sans-serif"/>
        <color theme="1"/>
        <sz val="8.0"/>
      </rPr>
      <t xml:space="preserve">&amp; </t>
    </r>
    <r>
      <rPr>
        <rFont val="arial, sans, sans-serif"/>
        <b/>
        <color theme="1"/>
        <sz val="8.0"/>
      </rPr>
      <t>GLA Single Export and QA Camp</t>
    </r>
  </si>
  <si>
    <t>Enigma Live for Long-tail &amp; Semi-Enterprise &amp; GLA QA Camp Fixes, Regression Cases and Live for SIA &amp; Solving Enigma BI Blockers</t>
  </si>
  <si>
    <t xml:space="preserve">Enigma Live for All Partners &amp; Hit-Based Impressions Development, QA Tasks &amp; Export Design &amp; Architect Enigma Blockers
</t>
  </si>
  <si>
    <t>Hit-Based QA Tasks &amp; Completing Usage Analytics &amp; Mobile Card Enigma Transition &amp; Removing Enigma Blockers for Email, DWH &amp; Security</t>
  </si>
  <si>
    <t>Completing Hit-Based Development e2e &amp; Event Conversion: Collecting Purchase Events and Completing Basic Structure for Attribution Engine</t>
  </si>
  <si>
    <t>Hit-Based Live &amp; Event Conversion System Testable (Released) &amp; Overall Analytics Micro FE Ready for Release</t>
  </si>
  <si>
    <t>Being Ready for full Product Implementation for Overall Analytics (Components Live &amp; Initial BE Structure Completed)</t>
  </si>
  <si>
    <t>Moving edit modal to MicroFE Overall Analytics Webpush, Whatsapp, SMS BE Event Conversion Setup, Campaign Analysis</t>
  </si>
  <si>
    <t xml:space="preserve">Overall Analytics: FE webpush ve onsite canlıya alınması, BE Email &amp; Subscriber tamamlanması. Event Conv: Streamingin başlaması.
</t>
  </si>
  <si>
    <t xml:space="preserve">Event conversion: yeni serviste data geldiğini görebilmek, purchase eventlerini storelamak Overall Analytics: Whatsapp, SMS, Email FE live, BE Architect journey
</t>
  </si>
  <si>
    <t>Overall Analytics: Architect, Subscriber, Metric Card Graph live all, all metrics need to be consistent FE&amp;BE, Export 
Event Conversion:  Test env readiness, data streaming will be started.</t>
  </si>
  <si>
    <t>Overall Analytics: Buglar, QA camp &amp; Save as default
Event Conversion: Load Test for Data Streaming &amp; Attribution Engine For: SMS Email WhatsApp</t>
  </si>
  <si>
    <t>Overall Analytics: Qa Camp çıktılarının tamamlanması, Side menu'ye eklenmesi, feature flag, X beta partnere açılması. Event Conversion: Load testte çıkan sorunların giderilmesi, test env kurulum tamamlanması, data serving başlanması</t>
  </si>
  <si>
    <t>Event Conversion: Sms, whatsapp, email Dry Run completion, Overall Analytics: Web push subscriber metric update Hit Based Click Impression: Panel&amp;Enigma log type add</t>
  </si>
  <si>
    <t>Event Conversion: Completing E2E tests.
Usage Analytics Monthly/Yearly: Load test, Pre-incident management, component fe readiness</t>
  </si>
  <si>
    <t>Mert Kanber</t>
  </si>
  <si>
    <t>Ömer Faruk Olcay</t>
  </si>
  <si>
    <t>Ulaş Kılıç</t>
  </si>
  <si>
    <t>Özkan Meşe</t>
  </si>
  <si>
    <t>Irem Özdemir</t>
  </si>
  <si>
    <t>Buse Balkan</t>
  </si>
  <si>
    <t>Esra Bozoklu</t>
  </si>
  <si>
    <t>Talha Akpınar</t>
  </si>
  <si>
    <t>Vesile Baloğlu</t>
  </si>
  <si>
    <t>Merve Övüt</t>
  </si>
  <si>
    <t>Q1'24</t>
  </si>
  <si>
    <t>Q2'24</t>
  </si>
  <si>
    <t>Q3'24</t>
  </si>
  <si>
    <t>Q4'24</t>
  </si>
  <si>
    <t>Overall</t>
  </si>
  <si>
    <t>Paracetamol</t>
  </si>
  <si>
    <t>19/04 - 02/05</t>
  </si>
  <si>
    <t>03/05 - 16/05</t>
  </si>
  <si>
    <t>17/05 - 30/05</t>
  </si>
  <si>
    <t>31/05 - 13/06</t>
  </si>
  <si>
    <t>14/06 - 28/06</t>
  </si>
  <si>
    <t>28/06 - 12/07</t>
  </si>
  <si>
    <t>12/07 - 25/07</t>
  </si>
  <si>
    <t>26/07 - 09/08</t>
  </si>
  <si>
    <t>16/08 - 30/08</t>
  </si>
  <si>
    <t>30/08 - 12/09</t>
  </si>
  <si>
    <t>13/09 - 26/09</t>
  </si>
  <si>
    <t>27/09 - 10/10</t>
  </si>
  <si>
    <t>#1 Welcome Everyone</t>
  </si>
  <si>
    <t>#2 Mayıs Giremez</t>
  </si>
  <si>
    <t>#3 Follow the White Rabbit</t>
  </si>
  <si>
    <t>#4 Believing is seeing</t>
  </si>
  <si>
    <t>#5 Half-Life</t>
  </si>
  <si>
    <t>#6 Five More Minutes</t>
  </si>
  <si>
    <t>#7 Honeymoon</t>
  </si>
  <si>
    <t>#8 Jetgiller</t>
  </si>
  <si>
    <t>#9 Hangover</t>
  </si>
  <si>
    <t>#10 Let's make it live</t>
  </si>
  <si>
    <t>- Have a use case management on Gachapon. (developed)
- Make the data requirements part more usable for partners</t>
  </si>
  <si>
    <t>- Completing the business objective part, making it demoable. 
- Completing edge cases of data planning (making changes on the flow)</t>
  </si>
  <si>
    <t>- Completing Select Use Case part completely.
- Data Integration concept to be confirmed by respective stakeholders</t>
  </si>
  <si>
    <t>Completing Select Use Case part completely. - Bringing Data for Modals to be ready. - Data Creation concept to be finalized and to be handshaked on it.</t>
  </si>
  <si>
    <t>- Completing "Use Case Details" page. - Completing design of "Data Source Improvements".</t>
  </si>
  <si>
    <t>- Complete the FE - Add Event Modal - Finalize the design of Data Integration KR</t>
  </si>
  <si>
    <t>- Complete the FE - Add Event Modal 
- Finalize the design of Data Integration KR 
- Completing the design of the Confirmation Page of Data Planning</t>
  </si>
  <si>
    <t>- Finishing "data requirements" step tasks - supporting with the complementary actions (design, decisions, alignments)</t>
  </si>
  <si>
    <t>- We should be ready to release the required tasks to get into QA Camp next sprint. (introduction - data requirements - confirming the plan)</t>
  </si>
  <si>
    <t>- Making Data Planning LIVE</t>
  </si>
  <si>
    <t>- data planning should be live on partner accounts after solving the issues - micro-frontend transition will be completely done.</t>
  </si>
  <si>
    <t>- Solving all bug tasks and going live for all customers (sprint içinde mümkün olan en kısa zamanda)</t>
  </si>
  <si>
    <t>Recep BIYIKLI</t>
  </si>
  <si>
    <t>Yavuz DALKILIÇ</t>
  </si>
  <si>
    <t>Umut ÇAYLI</t>
  </si>
  <si>
    <t>İlker ÇETİN</t>
  </si>
  <si>
    <t>Designers Committed Effort</t>
  </si>
  <si>
    <t>Eslem KAYNAK</t>
  </si>
  <si>
    <t>Suzan HAMED</t>
  </si>
  <si>
    <t>Işıl Hande SÜER</t>
  </si>
  <si>
    <t>Designers Done Effort</t>
  </si>
  <si>
    <t>Pirates</t>
  </si>
  <si>
    <t>04/01 - 18/01</t>
  </si>
  <si>
    <t>18/01 - 01/02</t>
  </si>
  <si>
    <t>01/02 - 15/02</t>
  </si>
  <si>
    <t>15/02 - 29/02</t>
  </si>
  <si>
    <t>29/02 - 14/03</t>
  </si>
  <si>
    <t>21/03 - 28/03</t>
  </si>
  <si>
    <t>28/03 - 25/04</t>
  </si>
  <si>
    <t>25/04 - 09/05</t>
  </si>
  <si>
    <t>09/05 - 23/05</t>
  </si>
  <si>
    <t>23/05 - 06/06</t>
  </si>
  <si>
    <t>06/06 - 14/06</t>
  </si>
  <si>
    <t>20/06 - 04/07</t>
  </si>
  <si>
    <t xml:space="preserve">04/07 - 18/07 </t>
  </si>
  <si>
    <t xml:space="preserve">18/07 - 01/08 </t>
  </si>
  <si>
    <t xml:space="preserve">01/08 - 09/08 </t>
  </si>
  <si>
    <t xml:space="preserve">16/08 - 29/08 </t>
  </si>
  <si>
    <t xml:space="preserve">29/08 - 12/09 </t>
  </si>
  <si>
    <t xml:space="preserve">12/09 - 26/09 </t>
  </si>
  <si>
    <t xml:space="preserve">26/09 - 10/10 </t>
  </si>
  <si>
    <t>Squad #48 Single Ladies</t>
  </si>
  <si>
    <t>Squad #49 Öneri Reddedildi 💔</t>
  </si>
  <si>
    <t>Squad #50 Yat Bakalım Melih 🛏</t>
  </si>
  <si>
    <t>Squad #51 Kalk Bakalım Melih ⏰</t>
  </si>
  <si>
    <t>Squad #52: Koyun AFK 🐏🐑</t>
  </si>
  <si>
    <t>Squad #54</t>
  </si>
  <si>
    <t>Squad #55 Kamaz Dolusu BE 🛻</t>
  </si>
  <si>
    <t>Squad #56 Sana Guardiyolar ⚽</t>
  </si>
  <si>
    <t>Squad #57 İnzibatlar Geldi 🪖</t>
  </si>
  <si>
    <t>Squad #58 58 Olabilir mi 58?</t>
  </si>
  <si>
    <t>Squad #59 Too hot to sprint 🌡</t>
  </si>
  <si>
    <t>Squad #60 AlpomDamatOluyo 🤵🏻</t>
  </si>
  <si>
    <t>Squad #61 HE SAID EVEETT👰🏻‍♂</t>
  </si>
  <si>
    <t>Squad #62 Yanaklar 75px 🍑</t>
  </si>
  <si>
    <t>Squad #63 Welcome (Akustik) 🎸</t>
  </si>
  <si>
    <t>Squad #64 Farewell (Akustik)</t>
  </si>
  <si>
    <t>Squad #65 DelirmedimNoWorries</t>
  </si>
  <si>
    <t>Squad #66 HaydiGülsüSanayiye🛠</t>
  </si>
  <si>
    <t>Squad #67 AlpErenYılmaz 🏴‍☠</t>
  </si>
  <si>
    <t>✔️ Incident Actions to be completed. 
✔️ Single Push will be released for all partners. 
✔️ Enigma implementation for Subscribers and Overall analytics page.</t>
  </si>
  <si>
    <t>✔️ Enigma tasks will be ready for release 
✔️ Web Push preview improvement will be ready for release w/partner flag 
✔️ Web Push Tech Debt and Incident Action tasks will be ready for release</t>
  </si>
  <si>
    <t>✔️ Salesforce infrastructure to be released and working for test partner. 
✔️ Enigma Transition will be released for each page except the subscriber analytics page. 
✔️ UX improvement tasks to be ready for release.</t>
  </si>
  <si>
    <t>✔️ Farewell to Token DB and Migration of false attribute users - (Will be released) 
✔️ Enigma - Subscriber page to be working with Enigma - (Ready for Release) 
✔️ Group Level Access - Getting ready for live! - (Ready for Release)</t>
  </si>
  <si>
    <t xml:space="preserve">✔️ Salesforce Analytics design to be finalized. 
✔️ Dynamic Content Preview will be waiting for release. 
✔️ Enigma monitoring and alarm systems to be completed. (Will be released) 
✔️ Getting ready for GLA release. (Ready for Release)
</t>
  </si>
  <si>
    <t>✔️ Enigma and SF shut down tasks will be Awaiting Release</t>
  </si>
  <si>
    <t>✔️ SF Analytics page tasks to be Waiting for Release. ✔️ Multiple Frequency Capping to be Ready for Release. ✔️ Alarm Improvements to be Done. ✔️ New Gachapon Structure tasks to be Ready for Release.</t>
  </si>
  <si>
    <t>✔️ Adjustable Conversion Attribution Window PoC and Test Case Set should be completed. (Done) ✔️ Making "Goal" step visible in web push campaign creation flow for every single push type. (Will be released w/ partner flag) ✔️ Panel access logs will be available. (Awaiting Release) ✔️ Gachapon Controls to be finalized for panel. (Awaiting Release) ✔️ Tech Design for Maintenance Mode to be completed. (Done) ✔️ Research for Web Push Dashboard to be completed. (Done)</t>
  </si>
  <si>
    <t>✔️ "Goal" page in every push type will be visible and running with the Conversion Duration settings w/partner flag. (Will be Released) ✔️ Technical structure to be finalized in SW for ACD. (Awaiting Release) ✔️ New Gachapon flows and Migration job to be developed. (Will be Released) ✔️ Migrating to AWS ECS without any issue. (Will be Released)</t>
  </si>
  <si>
    <t>✔️ Tech Design and POC for Welcome Push will be completed. (Done)
✔️ Revision of GLA Settings modal will be completed. (Will be Released)
✔️ Adjustable Attribution Window KR tasks will be completed. (Awaiting Release)</t>
  </si>
  <si>
    <t xml:space="preserve">- Gachapon ve segmentation paketi için kendi tarafında iş kalmayacak (migration hariç) 
- Access logları sorunsuz kaydedilir hale gelecek
- Optin event Pandora'ya paslanır hale gelecek
- GA4/Inone metrik farklılıkları aydınlatılacak
</t>
  </si>
  <si>
    <t xml:space="preserve">✔️ Count Bubble behaviour will not be a blocker for the Segmentation package transition. (Awaiting Release) 
✔️ Accesslog DB will be released. 
✔️ Gachapon migration to be completed for all partners without any problem. (Done) 
✔️ Pandora tasks for Default Goal and AAW will be completed. (Awaiting Release)
</t>
  </si>
  <si>
    <t>✔️ URM v2 endpoint to be live. (Awaiting Release) ✔️ New Web push Gachapon tab to be live. (Released). ✔️ New segmentation package and adjustable attribution tasks will be completed. (Pending for Release) ✔️ New Opt-in collection goal to be live. (Awaiting Release)</t>
  </si>
  <si>
    <t xml:space="preserve">✔️ All Welcome Push tasks will be Awaiting Release with the partner flag. </t>
  </si>
  <si>
    <t>✔️ Service Worker and Opt-in research to be completed. ✔️ Welcome Push KR tasks to be Awaiting Release.</t>
  </si>
  <si>
    <t>✔️ Welcome push tasks will be ready for release. ✔️ Farewell predefined segment research will be done. ✔️ Multiple frequency capping will be ready for release ✔️ Service worker tech design will be done. ✔️ Dynamic attributes will be added to custom links. (Pending)</t>
  </si>
  <si>
    <t>✔️Completion of the design of the onboarding center (without UX writing) ✔️ Being ready to implement consumer producer mechanism for web push integration manager (Done) ✔️Welcome Push will be ready to go! (Task should be released with completing major fixes)</t>
  </si>
  <si>
    <t>✔️ Welcome push live for all (with automation coverage) ✔️ Finalization of the design of the onboarding center and new web push settings pages ✔️ Preparation of test case part 1 for integration manager ✔️ Completion of onboarding version of the dolist page (Awaiting)</t>
  </si>
  <si>
    <t>✔️ All Web Push Integration Manager KR tasks will be done.</t>
  </si>
  <si>
    <t>UXI/Development Score</t>
  </si>
  <si>
    <t>Alperen</t>
  </si>
  <si>
    <t>Umut</t>
  </si>
  <si>
    <t>Umut Ç.</t>
  </si>
  <si>
    <t>Berkan</t>
  </si>
  <si>
    <t>İlker</t>
  </si>
  <si>
    <t>Eren</t>
  </si>
  <si>
    <t xml:space="preserve">Mehmet Alp </t>
  </si>
  <si>
    <t>Yılmaz</t>
  </si>
  <si>
    <t>Total Dev Committed Effort</t>
  </si>
  <si>
    <t>Ezgi</t>
  </si>
  <si>
    <t>Sıla</t>
  </si>
  <si>
    <t>Total Design Committed Effort</t>
  </si>
  <si>
    <t>Emir</t>
  </si>
  <si>
    <t>Gülsüm</t>
  </si>
  <si>
    <t>Firuze</t>
  </si>
  <si>
    <t>Melih</t>
  </si>
  <si>
    <t>Total QA Committed Effort</t>
  </si>
  <si>
    <t>Total Committed Manual Test Effort</t>
  </si>
  <si>
    <t>Total Dev Done Effort</t>
  </si>
  <si>
    <t>Total Design Done Effort</t>
  </si>
  <si>
    <t>Total QA Done Effort</t>
  </si>
  <si>
    <t>Total Done Manual Test Effort</t>
  </si>
  <si>
    <t>Team</t>
  </si>
  <si>
    <t>Release Efficiency</t>
  </si>
  <si>
    <t>Planning Accuracy</t>
  </si>
  <si>
    <t>Sprint Goal Success</t>
  </si>
  <si>
    <t>Done PBI Effort</t>
  </si>
  <si>
    <t>Shipping accuracy formülleri güncellenecek, Release Efficiency metriği eklenecek</t>
  </si>
  <si>
    <t>Success</t>
  </si>
  <si>
    <t>Unix</t>
  </si>
  <si>
    <t>Coruscant</t>
  </si>
  <si>
    <t>Korriban</t>
  </si>
  <si>
    <t>Design System</t>
  </si>
  <si>
    <t>GhostBusters</t>
  </si>
  <si>
    <t>MythBusters</t>
  </si>
  <si>
    <t>Mobile Cartel</t>
  </si>
  <si>
    <t>Pirate Squad</t>
  </si>
  <si>
    <t>ScaleUp</t>
  </si>
  <si>
    <t>Vikings - WhatsApp</t>
  </si>
  <si>
    <t>Byte Masters</t>
  </si>
  <si>
    <t>DataForce</t>
  </si>
  <si>
    <t>QMechanics</t>
  </si>
  <si>
    <t>Mobile</t>
  </si>
  <si>
    <t>Scalability</t>
  </si>
  <si>
    <t>Vikings</t>
  </si>
  <si>
    <t>DevOps</t>
  </si>
  <si>
    <t xml:space="preserve">Griffin </t>
  </si>
  <si>
    <t>SUM of Bug/Development Ratio</t>
  </si>
  <si>
    <t>Grand Total</t>
  </si>
  <si>
    <t>Cartel</t>
  </si>
  <si>
    <t>AVERAGE of Shipping Accuracy</t>
  </si>
  <si>
    <t>AVERAGE of Bug/Development Ratio</t>
  </si>
  <si>
    <t>AVERAGE of Sprint Goal Success</t>
  </si>
  <si>
    <t>Sub-teams</t>
  </si>
  <si>
    <t>10</t>
  </si>
  <si>
    <t xml:space="preserve">SUM of </t>
  </si>
  <si>
    <t>Uğurcan Ertek</t>
  </si>
  <si>
    <t>ü</t>
  </si>
  <si>
    <t>üğ</t>
  </si>
  <si>
    <t>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</si>
</sst>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_);(#,##0)"/>
    <numFmt numFmtId="165" formatCode="dd&quot;-&quot;mm&quot;-&quot;yy"/>
    <numFmt numFmtId="166" formatCode="0.0%"/>
  </numFmts>
  <fonts count="140">
    <font>
      <sz val="10.0"/>
      <color rgb="FF000000"/>
      <name val="Arial"/>
      <scheme val="minor"/>
    </font>
    <font>
      <sz val="18.0"/>
      <color rgb="FF000000"/>
      <name val="Arial"/>
      <scheme val="minor"/>
    </font>
    <font>
      <sz val="18.0"/>
      <color theme="1"/>
      <name val="Arial"/>
      <scheme val="minor"/>
    </font>
    <font>
      <sz val="18.0"/>
      <color rgb="FFFFFFFF"/>
      <name val="Arial"/>
      <scheme val="minor"/>
    </font>
    <font>
      <color theme="1"/>
      <name val="Arial"/>
      <scheme val="minor"/>
    </font>
    <font>
      <b/>
      <color theme="1"/>
      <name val="Trebuchet MS"/>
    </font>
    <font/>
    <font>
      <b/>
      <sz val="9.0"/>
      <color theme="1"/>
      <name val="Trebuchet MS"/>
    </font>
    <font>
      <b/>
      <color theme="1"/>
      <name val="Arial"/>
      <scheme val="minor"/>
    </font>
    <font>
      <color rgb="FF000000"/>
      <name val="Trebuchet MS"/>
    </font>
    <font>
      <color theme="1"/>
      <name val="Trebuchet MS"/>
    </font>
    <font>
      <color rgb="FF6AA84F"/>
      <name val="Trebuchet MS"/>
    </font>
    <font>
      <color rgb="FF6AA84F"/>
      <name val="Arial"/>
      <scheme val="minor"/>
    </font>
    <font>
      <color rgb="FF38761D"/>
      <name val="Trebuchet MS"/>
    </font>
    <font>
      <color rgb="FF38761D"/>
      <name val="Arial"/>
      <scheme val="minor"/>
    </font>
    <font>
      <color rgb="FFCC0000"/>
      <name val="Trebuchet MS"/>
    </font>
    <font>
      <color rgb="FF0000FF"/>
      <name val="Trebuchet MS"/>
    </font>
    <font>
      <color rgb="FF0000FF"/>
      <name val="Arial"/>
      <scheme val="minor"/>
    </font>
    <font>
      <sz val="14.0"/>
      <color rgb="FF000000"/>
      <name val="&quot;Trebuchet MS&quot;"/>
    </font>
    <font>
      <color theme="1"/>
      <name val="Arial"/>
    </font>
    <font>
      <sz val="14.0"/>
      <color rgb="FF000000"/>
      <name val="Trebuchet MS"/>
    </font>
    <font>
      <b/>
      <color theme="1"/>
      <name val="Arial"/>
    </font>
    <font>
      <b/>
      <color rgb="FF990000"/>
      <name val="Arial"/>
    </font>
    <font>
      <b/>
      <color rgb="FF1C4587"/>
      <name val="Arial"/>
    </font>
    <font>
      <b/>
      <color rgb="FF38761D"/>
      <name val="Arial"/>
    </font>
    <font>
      <b/>
      <color rgb="FF351C75"/>
      <name val="Arial"/>
    </font>
    <font>
      <color rgb="FF38761D"/>
      <name val="Arial"/>
    </font>
    <font>
      <color rgb="FF073763"/>
      <name val="Arial"/>
    </font>
    <font>
      <color rgb="FF351C75"/>
      <name val="Arial"/>
    </font>
    <font>
      <b/>
      <color theme="1"/>
      <name val="&quot;Trebuchet MS&quot;"/>
    </font>
    <font>
      <color theme="1"/>
      <name val="&quot;Trebuchet MS&quot;"/>
    </font>
    <font>
      <color rgb="FFCC0000"/>
      <name val="&quot;Trebuchet MS&quot;"/>
    </font>
    <font>
      <color rgb="FFCC0000"/>
      <name val="Arial"/>
      <scheme val="minor"/>
    </font>
    <font>
      <color rgb="FF6AA84F"/>
      <name val="&quot;Trebuchet MS&quot;"/>
    </font>
    <font>
      <sz val="14.0"/>
      <color theme="1"/>
      <name val="Trebuchet MS"/>
    </font>
    <font>
      <sz val="7.0"/>
      <color theme="1"/>
      <name val="Arial"/>
    </font>
    <font>
      <sz val="8.0"/>
      <color theme="1"/>
      <name val="Arial"/>
    </font>
    <font>
      <sz val="6.0"/>
      <color theme="1"/>
      <name val="Trebuchet MS"/>
    </font>
    <font>
      <sz val="7.0"/>
      <color theme="1"/>
      <name val="Arial"/>
      <scheme val="minor"/>
    </font>
    <font>
      <sz val="8.0"/>
      <color theme="1"/>
      <name val="Arial"/>
      <scheme val="minor"/>
    </font>
    <font>
      <sz val="6.0"/>
      <color theme="1"/>
      <name val="Arial"/>
      <scheme val="minor"/>
    </font>
    <font>
      <sz val="7.0"/>
      <color theme="1"/>
      <name val="Trebuchet MS"/>
    </font>
    <font>
      <color theme="1"/>
      <name val="Raleway"/>
    </font>
    <font>
      <sz val="9.0"/>
      <color theme="1"/>
      <name val="Arial"/>
    </font>
    <font>
      <color rgb="FF000000"/>
      <name val="Arial"/>
    </font>
    <font>
      <u/>
      <color rgb="FF0000FF"/>
      <name val="Arial"/>
    </font>
    <font>
      <u/>
      <sz val="9.0"/>
      <color rgb="FF1F1F1F"/>
      <name val="Arial"/>
    </font>
    <font>
      <u/>
      <sz val="8.0"/>
      <color rgb="FF6AA84F"/>
      <name val="Arial"/>
    </font>
    <font>
      <u/>
      <sz val="9.0"/>
      <color rgb="FF38761D"/>
      <name val="Arial"/>
    </font>
    <font>
      <u/>
      <sz val="8.0"/>
      <color rgb="FF38761D"/>
      <name val="Arial"/>
    </font>
    <font>
      <u/>
      <sz val="8.0"/>
      <color rgb="FF0000FF"/>
      <name val="Arial"/>
    </font>
    <font>
      <u/>
      <sz val="8.0"/>
      <color rgb="FF38761D"/>
      <name val="Arial"/>
    </font>
    <font>
      <u/>
      <sz val="8.0"/>
      <color rgb="FF1F1F1F"/>
      <name val="Arial"/>
    </font>
    <font>
      <u/>
      <sz val="8.0"/>
      <color rgb="FF1F1F1F"/>
      <name val="Arial"/>
    </font>
    <font>
      <sz val="8.0"/>
      <color rgb="FF38761D"/>
      <name val="Arial"/>
    </font>
    <font>
      <u/>
      <sz val="8.0"/>
      <color rgb="FF38761D"/>
      <name val="Arial"/>
    </font>
    <font>
      <u/>
      <color rgb="FF38761D"/>
      <name val="Arial"/>
    </font>
    <font>
      <u/>
      <sz val="8.0"/>
      <color rgb="FF0000FF"/>
      <name val="Arial"/>
    </font>
    <font>
      <sz val="14.0"/>
      <color theme="1"/>
      <name val="Arial"/>
    </font>
    <font>
      <u/>
      <sz val="9.0"/>
      <color rgb="FF0000FF"/>
      <name val="Arial"/>
    </font>
    <font>
      <u/>
      <color rgb="FF0000FF"/>
      <name val="Arial"/>
    </font>
    <font>
      <u/>
      <sz val="8.0"/>
      <color rgb="FF1F1F1F"/>
      <name val="Arial"/>
    </font>
    <font>
      <sz val="9.0"/>
      <color rgb="FF1F1F1F"/>
      <name val="&quot;Google Sans&quot;"/>
    </font>
    <font>
      <u/>
      <sz val="10.0"/>
      <color rgb="FF0000FF"/>
      <name val="Arial"/>
    </font>
    <font>
      <u/>
      <color rgb="FF0000FF"/>
      <name val="Arial"/>
    </font>
    <font>
      <u/>
      <sz val="10.0"/>
      <color rgb="FF0000FF"/>
      <name val="Arial"/>
    </font>
    <font>
      <u/>
      <color rgb="FF0000FF"/>
    </font>
    <font>
      <u/>
      <sz val="11.0"/>
      <color rgb="FF4A86E8"/>
      <name val="&quot;Google Sans&quot;"/>
    </font>
    <font>
      <u/>
      <sz val="11.0"/>
      <color rgb="FF1155CC"/>
      <name val="&quot;Google Sans&quot;"/>
    </font>
    <font>
      <u/>
      <sz val="9.0"/>
      <color rgb="FF1F1F1F"/>
      <name val="&quot;Google Sans&quot;"/>
    </font>
    <font>
      <u/>
      <sz val="9.0"/>
      <color rgb="FF1F1F1F"/>
      <name val="&quot;Google Sans&quot;"/>
    </font>
    <font>
      <sz val="11.0"/>
      <color rgb="FF1F1F1F"/>
      <name val="&quot;Google Sans&quot;"/>
    </font>
    <font>
      <u/>
      <color rgb="FF0000FF"/>
      <name val="Arial"/>
    </font>
    <font>
      <u/>
      <sz val="10.0"/>
      <color rgb="FF000000"/>
      <name val="&quot;Google Sans&quot;"/>
    </font>
    <font>
      <u/>
      <sz val="9.0"/>
      <color rgb="FF0000FF"/>
      <name val="&quot;Google Sans&quot;"/>
    </font>
    <font>
      <u/>
      <sz val="8.0"/>
      <color rgb="FF1F1F1F"/>
      <name val="Arial"/>
    </font>
    <font>
      <u/>
      <sz val="11.0"/>
      <color rgb="FF1F1F1F"/>
      <name val="&quot;Google Sans&quot;"/>
    </font>
    <font>
      <u/>
      <sz val="9.0"/>
      <color rgb="FF000000"/>
      <name val="&quot;Google Sans&quot;"/>
    </font>
    <font>
      <u/>
      <sz val="11.0"/>
      <color rgb="FF000000"/>
      <name val="&quot;Google Sans&quot;"/>
    </font>
    <font>
      <u/>
      <sz val="11.0"/>
      <color rgb="FF0000FF"/>
      <name val="&quot;Google Sans&quot;"/>
    </font>
    <font>
      <u/>
      <sz val="11.0"/>
      <color rgb="FF4A86E8"/>
      <name val="&quot;Google Sans&quot;"/>
    </font>
    <font>
      <sz val="11.0"/>
      <color theme="1"/>
      <name val="&quot;Google Sans&quot;"/>
    </font>
    <font>
      <u/>
      <sz val="9.0"/>
      <color rgb="FF1F1F1F"/>
      <name val="&quot;Google Sans&quot;"/>
    </font>
    <font>
      <b/>
      <sz val="10.0"/>
      <color rgb="FF000000"/>
      <name val="&quot;Google Sans Mono&quot;"/>
    </font>
    <font>
      <b/>
      <sz val="10.0"/>
      <color rgb="FF172B4D"/>
      <name val="Arial"/>
      <scheme val="minor"/>
    </font>
    <font>
      <u/>
      <color rgb="FF0000FF"/>
    </font>
    <font>
      <color rgb="FF000000"/>
      <name val="&quot;Trebuchet MS&quot;"/>
    </font>
    <font>
      <b/>
      <u/>
      <sz val="9.0"/>
      <color rgb="FF0000FF"/>
      <name val="Trebuchet MS"/>
    </font>
    <font>
      <b/>
      <u/>
      <sz val="9.0"/>
      <color rgb="FF0000FF"/>
      <name val="Trebuchet MS"/>
    </font>
    <font>
      <u/>
      <color rgb="FF0000FF"/>
    </font>
    <font>
      <u/>
      <color rgb="FF0000FF"/>
    </font>
    <font>
      <b/>
      <sz val="9.0"/>
      <color theme="1"/>
      <name val="Arial"/>
      <scheme val="minor"/>
    </font>
    <font>
      <sz val="9.0"/>
      <color rgb="FF42526E"/>
      <name val="Roboto"/>
    </font>
    <font>
      <sz val="11.0"/>
      <color theme="1"/>
      <name val="Arial"/>
    </font>
    <font>
      <sz val="10.0"/>
      <color rgb="FF000000"/>
      <name val="Arial"/>
    </font>
    <font>
      <b/>
      <sz val="9.0"/>
      <color rgb="FF000000"/>
      <name val="&quot;Trebuchet MS&quot;"/>
    </font>
    <font>
      <b/>
      <color rgb="FF000000"/>
      <name val="Arial"/>
    </font>
    <font>
      <sz val="9.0"/>
      <color theme="1"/>
      <name val="Trebuchet MS"/>
    </font>
    <font>
      <sz val="9.0"/>
      <color rgb="FF000000"/>
      <name val="Trebuchet MS"/>
    </font>
    <font>
      <color rgb="FF000000"/>
      <name val="Arial"/>
      <scheme val="minor"/>
    </font>
    <font>
      <sz val="10.0"/>
      <color theme="1"/>
      <name val="Arial"/>
    </font>
    <font>
      <sz val="10.0"/>
      <color theme="1"/>
      <name val="Trebuchet MS"/>
    </font>
    <font>
      <sz val="10.0"/>
      <color rgb="FF000000"/>
      <name val="Trebuchet MS"/>
    </font>
    <font>
      <b/>
      <color rgb="FF9900FF"/>
      <name val="&quot;Trebuchet MS&quot;"/>
    </font>
    <font>
      <u/>
      <color rgb="FF0000FF"/>
      <name val="Arial"/>
    </font>
    <font>
      <u/>
      <color rgb="FF1155CC"/>
      <name val="Arial"/>
    </font>
    <font>
      <sz val="11.0"/>
      <color rgb="FF1D1C1D"/>
      <name val="Slack-Lato"/>
    </font>
    <font>
      <u/>
      <color rgb="FF0000FF"/>
    </font>
    <font>
      <u/>
      <color rgb="FF0000FF"/>
    </font>
    <font>
      <u/>
      <color rgb="FF0000FF"/>
      <name val="Arial"/>
    </font>
    <font>
      <u/>
      <color rgb="FF0000FF"/>
      <name val="Arial"/>
    </font>
    <font>
      <u/>
      <color rgb="FF0000FF"/>
      <name val="Arial"/>
    </font>
    <font>
      <sz val="11.0"/>
      <color theme="1"/>
      <name val="Arial"/>
      <scheme val="minor"/>
    </font>
    <font>
      <color rgb="FFFF0000"/>
      <name val="Trebuchet MS"/>
    </font>
    <font>
      <sz val="9.0"/>
      <color rgb="FF000000"/>
      <name val="Arial"/>
    </font>
    <font>
      <color rgb="FF172B4D"/>
      <name val="Arial"/>
    </font>
    <font>
      <u/>
      <color theme="1"/>
      <name val="&quot;Trebuchet MS&quot;"/>
    </font>
    <font>
      <color rgb="FF1155CC"/>
      <name val="Trebuchet MS"/>
    </font>
    <font>
      <sz val="9.0"/>
      <color rgb="FF202124"/>
      <name val="Roboto"/>
    </font>
    <font>
      <color rgb="FF202124"/>
      <name val="Roboto"/>
    </font>
    <font>
      <sz val="9.0"/>
      <color theme="1"/>
      <name val="Arial"/>
      <scheme val="minor"/>
    </font>
    <font>
      <color rgb="FF0B8043"/>
      <name val="Arial"/>
      <scheme val="minor"/>
    </font>
    <font>
      <sz val="10.0"/>
      <color rgb="FF000000"/>
      <name val="&quot;Trebuchet MS&quot;"/>
    </font>
    <font>
      <b/>
      <sz val="8.0"/>
      <color theme="1"/>
      <name val="Arial"/>
    </font>
    <font>
      <sz val="13.0"/>
      <color rgb="FF000000"/>
      <name val="&quot;Trebuchet MS&quot;"/>
    </font>
    <font>
      <sz val="13.0"/>
      <color rgb="FF000000"/>
      <name val="Trebuchet MS"/>
    </font>
    <font>
      <sz val="13.0"/>
      <color theme="1"/>
      <name val="Trebuchet MS"/>
    </font>
    <font>
      <b/>
      <u/>
      <sz val="9.0"/>
      <color rgb="FF0000FF"/>
      <name val="Trebuchet MS"/>
    </font>
    <font>
      <b/>
      <u/>
      <sz val="9.0"/>
      <color rgb="FF0000FF"/>
      <name val="Trebuchet MS"/>
    </font>
    <font>
      <b/>
      <u/>
      <sz val="9.0"/>
      <color rgb="FF0000FF"/>
      <name val="Trebuchet MS"/>
    </font>
    <font>
      <b/>
      <u/>
      <color rgb="FF0000FF"/>
    </font>
    <font>
      <b/>
      <u/>
      <color rgb="FF0000FF"/>
    </font>
    <font>
      <b/>
      <u/>
      <color rgb="FF0000FF"/>
    </font>
    <font>
      <sz val="18.0"/>
      <color rgb="FF172B4D"/>
      <name val="-apple-system"/>
    </font>
    <font>
      <sz val="12.0"/>
      <color rgb="FF000000"/>
      <name val="&quot;Trebuchet MS&quot;"/>
    </font>
    <font>
      <sz val="12.0"/>
      <color rgb="FF000000"/>
      <name val="Trebuchet MS"/>
    </font>
    <font>
      <sz val="12.0"/>
      <color theme="1"/>
      <name val="Trebuchet MS"/>
    </font>
    <font>
      <b/>
      <sz val="11.0"/>
      <color theme="1"/>
      <name val="Arial"/>
    </font>
    <font>
      <sz val="9.0"/>
      <color rgb="FF000000"/>
      <name val="&quot;Google Sans Mono&quot;"/>
    </font>
    <font>
      <b/>
      <color rgb="FFFFFFFF"/>
      <name val="Arial"/>
      <scheme val="minor"/>
    </font>
  </fonts>
  <fills count="36">
    <fill>
      <patternFill patternType="none"/>
    </fill>
    <fill>
      <patternFill patternType="lightGray"/>
    </fill>
    <fill>
      <patternFill patternType="solid">
        <fgColor rgb="FFCFE2F3"/>
        <bgColor rgb="FFCFE2F3"/>
      </patternFill>
    </fill>
    <fill>
      <patternFill patternType="solid">
        <fgColor rgb="FFB4A7D6"/>
        <bgColor rgb="FFB4A7D6"/>
      </patternFill>
    </fill>
    <fill>
      <patternFill patternType="solid">
        <fgColor rgb="FF93C47D"/>
        <bgColor rgb="FF93C47D"/>
      </patternFill>
    </fill>
    <fill>
      <patternFill patternType="solid">
        <fgColor rgb="FFE06666"/>
        <bgColor rgb="FFE06666"/>
      </patternFill>
    </fill>
    <fill>
      <patternFill patternType="solid">
        <fgColor rgb="FFFF9900"/>
        <bgColor rgb="FFFF9900"/>
      </patternFill>
    </fill>
    <fill>
      <patternFill patternType="solid">
        <fgColor rgb="FFFFD966"/>
        <bgColor rgb="FFFFD966"/>
      </patternFill>
    </fill>
    <fill>
      <patternFill patternType="solid">
        <fgColor rgb="FFD9D2E9"/>
        <bgColor rgb="FFD9D2E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
      <patternFill patternType="solid">
        <fgColor rgb="FF9FC5E8"/>
        <bgColor rgb="FF9FC5E8"/>
      </patternFill>
    </fill>
    <fill>
      <patternFill patternType="solid">
        <fgColor rgb="FFD5A6BD"/>
        <bgColor rgb="FFD5A6BD"/>
      </patternFill>
    </fill>
    <fill>
      <patternFill patternType="solid">
        <fgColor rgb="FFEAD1DC"/>
        <bgColor rgb="FFEAD1DC"/>
      </patternFill>
    </fill>
    <fill>
      <patternFill patternType="solid">
        <fgColor rgb="FFC9DAF8"/>
        <bgColor rgb="FFC9DAF8"/>
      </patternFill>
    </fill>
    <fill>
      <patternFill patternType="solid">
        <fgColor rgb="FFD9EAD3"/>
        <bgColor rgb="FFD9EAD3"/>
      </patternFill>
    </fill>
    <fill>
      <patternFill patternType="solid">
        <fgColor rgb="FFF4CCCC"/>
        <bgColor rgb="FFF4CCCC"/>
      </patternFill>
    </fill>
    <fill>
      <patternFill patternType="solid">
        <fgColor rgb="FFFFF2CC"/>
        <bgColor rgb="FFFFF2CC"/>
      </patternFill>
    </fill>
    <fill>
      <patternFill patternType="solid">
        <fgColor rgb="FFFCE5CD"/>
        <bgColor rgb="FFFCE5CD"/>
      </patternFill>
    </fill>
    <fill>
      <patternFill patternType="solid">
        <fgColor rgb="FFFFFF00"/>
        <bgColor rgb="FFFFFF00"/>
      </patternFill>
    </fill>
    <fill>
      <patternFill patternType="solid">
        <fgColor rgb="FFA4C2F4"/>
        <bgColor rgb="FFA4C2F4"/>
      </patternFill>
    </fill>
    <fill>
      <patternFill patternType="solid">
        <fgColor rgb="FFF6B26B"/>
        <bgColor rgb="FFF6B26B"/>
      </patternFill>
    </fill>
    <fill>
      <patternFill patternType="solid">
        <fgColor rgb="FF6FA8DC"/>
        <bgColor rgb="FF6FA8DC"/>
      </patternFill>
    </fill>
    <fill>
      <patternFill patternType="solid">
        <fgColor rgb="FFC27BA0"/>
        <bgColor rgb="FFC27BA0"/>
      </patternFill>
    </fill>
    <fill>
      <patternFill patternType="solid">
        <fgColor rgb="FFB7B7B7"/>
        <bgColor rgb="FFB7B7B7"/>
      </patternFill>
    </fill>
    <fill>
      <patternFill patternType="solid">
        <fgColor rgb="FFD9D9D9"/>
        <bgColor rgb="FFD9D9D9"/>
      </patternFill>
    </fill>
    <fill>
      <patternFill patternType="solid">
        <fgColor rgb="FF45818E"/>
        <bgColor rgb="FF45818E"/>
      </patternFill>
    </fill>
    <fill>
      <patternFill patternType="solid">
        <fgColor rgb="FF76A5AF"/>
        <bgColor rgb="FF76A5AF"/>
      </patternFill>
    </fill>
    <fill>
      <patternFill patternType="solid">
        <fgColor rgb="FFB6D7A8"/>
        <bgColor rgb="FFB6D7A8"/>
      </patternFill>
    </fill>
    <fill>
      <patternFill patternType="solid">
        <fgColor rgb="FF434343"/>
        <bgColor rgb="FF434343"/>
      </patternFill>
    </fill>
    <fill>
      <patternFill patternType="solid">
        <fgColor rgb="FFE6B8AF"/>
        <bgColor rgb="FFE6B8AF"/>
      </patternFill>
    </fill>
    <fill>
      <patternFill patternType="solid">
        <fgColor rgb="FFA2C4C9"/>
        <bgColor rgb="FFA2C4C9"/>
      </patternFill>
    </fill>
    <fill>
      <patternFill patternType="solid">
        <fgColor rgb="FFF9CB9C"/>
        <bgColor rgb="FFF9CB9C"/>
      </patternFill>
    </fill>
    <fill>
      <patternFill patternType="solid">
        <fgColor rgb="FFFF0000"/>
        <bgColor rgb="FFFF0000"/>
      </patternFill>
    </fill>
  </fills>
  <borders count="66">
    <border/>
    <border>
      <bottom style="thin">
        <color rgb="FF000000"/>
      </bottom>
    </border>
    <border>
      <left style="thin">
        <color rgb="FF666666"/>
      </left>
      <top style="thin">
        <color rgb="FF666666"/>
      </top>
      <bottom style="thin">
        <color rgb="FF666666"/>
      </bottom>
    </border>
    <border>
      <top style="thin">
        <color rgb="FF666666"/>
      </top>
      <bottom style="thin">
        <color rgb="FF666666"/>
      </bottom>
    </border>
    <border>
      <right style="thin">
        <color rgb="FF666666"/>
      </right>
      <top style="thin">
        <color rgb="FF666666"/>
      </top>
      <bottom style="thin">
        <color rgb="FF666666"/>
      </bottom>
    </border>
    <border>
      <left style="medium">
        <color rgb="FF000000"/>
      </left>
      <top style="thin">
        <color rgb="FF666666"/>
      </top>
      <bottom style="thin">
        <color rgb="FF666666"/>
      </bottom>
    </border>
    <border>
      <left style="thin">
        <color rgb="FF666666"/>
      </left>
      <top style="thin">
        <color rgb="FF666666"/>
      </top>
      <bottom style="thin">
        <color rgb="FF000000"/>
      </bottom>
    </border>
    <border>
      <right style="thin">
        <color rgb="FF666666"/>
      </right>
      <top style="thin">
        <color rgb="FF666666"/>
      </top>
      <bottom style="thin">
        <color rgb="FF000000"/>
      </bottom>
    </border>
    <border>
      <left style="medium">
        <color rgb="FF000000"/>
      </left>
    </border>
    <border>
      <left style="thin">
        <color rgb="FF000000"/>
      </left>
      <top style="thin">
        <color rgb="FF000000"/>
      </top>
    </border>
    <border>
      <right style="thin">
        <color rgb="FF000000"/>
      </right>
      <top style="thin">
        <color rgb="FF000000"/>
      </top>
    </border>
    <border>
      <top style="thin">
        <color rgb="FF000000"/>
      </top>
    </border>
    <border>
      <left style="medium">
        <color rgb="FF000000"/>
      </left>
      <right style="thin">
        <color rgb="FF000000"/>
      </right>
      <top style="thin">
        <color rgb="FF000000"/>
      </top>
    </border>
    <border>
      <left style="thin">
        <color rgb="FF000000"/>
      </left>
    </border>
    <border>
      <right style="thin">
        <color rgb="FF000000"/>
      </right>
    </border>
    <border>
      <left style="medium">
        <color rgb="FF000000"/>
      </left>
      <right style="thin">
        <color rgb="FF000000"/>
      </right>
    </border>
    <border>
      <left style="thin">
        <color rgb="FF000000"/>
      </left>
      <bottom style="thin">
        <color rgb="FF000000"/>
      </bottom>
    </border>
    <border>
      <right style="thin">
        <color rgb="FF000000"/>
      </right>
      <bottom style="thin">
        <color rgb="FF000000"/>
      </bottom>
    </border>
    <border>
      <left style="medium">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right style="medium">
        <color rgb="FF000000"/>
      </right>
    </border>
    <border>
      <left style="medium">
        <color rgb="FF000000"/>
      </left>
      <top style="thin">
        <color rgb="FF000000"/>
      </top>
    </border>
    <border>
      <left style="medium">
        <color rgb="FF000000"/>
      </left>
      <top style="thin">
        <color rgb="FF666666"/>
      </top>
    </border>
    <border>
      <right style="thin">
        <color rgb="FF666666"/>
      </right>
      <top style="thin">
        <color rgb="FF666666"/>
      </top>
    </border>
    <border>
      <top style="thin">
        <color rgb="FF666666"/>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style="medium">
        <color rgb="FF000000"/>
      </right>
      <top style="thin">
        <color rgb="FF000000"/>
      </top>
    </border>
    <border>
      <right style="medium">
        <color rgb="FF000000"/>
      </right>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rder>
    <border>
      <left style="thin">
        <color rgb="FFFFFFFF"/>
      </left>
    </border>
    <border>
      <left style="thin">
        <color rgb="FF666666"/>
      </left>
      <right style="thin">
        <color rgb="FF666666"/>
      </right>
      <top style="thin">
        <color rgb="FF666666"/>
      </top>
      <bottom style="thin">
        <color rgb="FF666666"/>
      </bottom>
    </border>
    <border>
      <right style="thin">
        <color rgb="FF000000"/>
      </right>
      <top style="thin">
        <color rgb="FF666666"/>
      </top>
      <bottom style="thin">
        <color rgb="FF666666"/>
      </bottom>
    </border>
    <border>
      <top style="thin">
        <color rgb="FF000000"/>
      </top>
      <bottom style="thin">
        <color rgb="FF000000"/>
      </bottom>
    </border>
    <border>
      <left style="thin">
        <color rgb="FF666666"/>
      </left>
      <top style="thin">
        <color rgb="FF000000"/>
      </top>
      <bottom style="thin">
        <color rgb="FF000000"/>
      </bottom>
    </border>
    <border>
      <left style="thin">
        <color rgb="FF666666"/>
      </left>
      <bottom style="thin">
        <color rgb="FF666666"/>
      </bottom>
    </border>
    <border>
      <right style="thin">
        <color rgb="FF666666"/>
      </right>
      <bottom style="thin">
        <color rgb="FF666666"/>
      </bottom>
    </border>
    <border>
      <bottom style="thin">
        <color rgb="FF666666"/>
      </bottom>
    </border>
    <border>
      <top style="double">
        <color rgb="FF000000"/>
      </top>
    </border>
    <border>
      <right style="thin">
        <color rgb="FF000000"/>
      </right>
      <top style="double">
        <color rgb="FF000000"/>
      </top>
    </border>
    <border>
      <bottom style="dotted">
        <color rgb="FF000000"/>
      </bottom>
    </border>
    <border>
      <right style="thin">
        <color rgb="FF000000"/>
      </right>
      <bottom style="dotted">
        <color rgb="FF000000"/>
      </bottom>
    </border>
    <border>
      <left style="medium">
        <color rgb="FF000000"/>
      </left>
      <bottom style="thin">
        <color rgb="FF000000"/>
      </bottom>
    </border>
    <border>
      <bottom style="double">
        <color rgb="FF000000"/>
      </bottom>
    </border>
    <border>
      <top style="dotted">
        <color rgb="FF000000"/>
      </top>
      <bottom style="thin">
        <color rgb="FF000000"/>
      </bottom>
    </border>
    <border>
      <right style="thin">
        <color rgb="FF000000"/>
      </right>
      <top style="dotted">
        <color rgb="FF000000"/>
      </top>
      <bottom style="thin">
        <color rgb="FF000000"/>
      </bottom>
    </border>
    <border>
      <left style="medium">
        <color rgb="FF000000"/>
      </left>
      <right style="thin">
        <color rgb="FF000000"/>
      </right>
      <top style="dotted">
        <color rgb="FF000000"/>
      </top>
      <bottom style="thin">
        <color rgb="FF000000"/>
      </bottom>
    </border>
    <border>
      <right style="medium">
        <color rgb="FF000000"/>
      </right>
      <bottom style="double">
        <color rgb="FF000000"/>
      </bottom>
    </border>
    <border>
      <top style="thick">
        <color rgb="FF000000"/>
      </top>
    </border>
    <border>
      <right style="medium">
        <color rgb="FF000000"/>
      </right>
      <top style="thin">
        <color rgb="FF666666"/>
      </top>
      <bottom style="thin">
        <color rgb="FF666666"/>
      </bottom>
    </border>
    <border>
      <left style="medium">
        <color rgb="FF000000"/>
      </left>
      <right style="thin">
        <color rgb="FF666666"/>
      </right>
      <top style="thin">
        <color rgb="FF666666"/>
      </top>
      <bottom style="thin">
        <color rgb="FF666666"/>
      </bottom>
    </border>
    <border>
      <top style="thin">
        <color rgb="FF666666"/>
      </top>
      <bottom style="thin">
        <color rgb="FF000000"/>
      </bottom>
    </border>
    <border>
      <left style="thin">
        <color rgb="FF666666"/>
      </left>
      <top style="thin">
        <color rgb="FF666666"/>
      </top>
    </border>
    <border>
      <left style="medium">
        <color rgb="FF000000"/>
      </left>
      <top style="thin">
        <color rgb="FF000000"/>
      </top>
      <bottom style="thin">
        <color rgb="FF000000"/>
      </bottom>
    </border>
    <border>
      <left style="medium">
        <color rgb="FF000000"/>
      </left>
      <bottom style="double">
        <color rgb="FF000000"/>
      </bottom>
    </border>
    <border>
      <right style="thin">
        <color rgb="FFFFFFFF"/>
      </right>
      <bottom style="thin">
        <color rgb="FFA3B2CC"/>
      </bottom>
    </border>
    <border>
      <left style="thin">
        <color rgb="FFFFFFFF"/>
      </left>
      <right style="thin">
        <color rgb="FFFFFFFF"/>
      </right>
      <bottom style="thin">
        <color rgb="FFA3B2CC"/>
      </bottom>
    </border>
    <border>
      <left style="thin">
        <color rgb="FFFFFFFF"/>
      </left>
      <bottom style="thin">
        <color rgb="FFA3B2CC"/>
      </bottom>
    </border>
    <border>
      <right style="thin">
        <color rgb="FFFFFFFF"/>
      </right>
      <top style="thin">
        <color rgb="FFA3B2CC"/>
      </top>
      <bottom style="thin">
        <color rgb="FFA3B2CC"/>
      </bottom>
    </border>
    <border>
      <left style="thin">
        <color rgb="FFFFFFFF"/>
      </left>
      <right style="thin">
        <color rgb="FFFFFFFF"/>
      </right>
      <top style="thin">
        <color rgb="FFA3B2CC"/>
      </top>
      <bottom style="thin">
        <color rgb="FFA3B2CC"/>
      </bottom>
    </border>
    <border>
      <left style="thin">
        <color rgb="FFFFFFFF"/>
      </left>
      <top style="thin">
        <color rgb="FFA3B2CC"/>
      </top>
      <bottom style="thin">
        <color rgb="FFA3B2CC"/>
      </bottom>
    </border>
  </borders>
  <cellStyleXfs count="1">
    <xf borderId="0" fillId="0" fontId="0" numFmtId="0" applyAlignment="1" applyFont="1"/>
  </cellStyleXfs>
  <cellXfs count="1098">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horizontal="left" readingOrder="0" shrinkToFit="0" wrapText="1"/>
    </xf>
    <xf borderId="0" fillId="0" fontId="3" numFmtId="0" xfId="0" applyAlignment="1" applyFont="1">
      <alignment horizontal="center" readingOrder="0"/>
    </xf>
    <xf borderId="0" fillId="0" fontId="4" numFmtId="0" xfId="0" applyAlignment="1" applyFont="1">
      <alignment horizontal="center" readingOrder="0"/>
    </xf>
    <xf borderId="1" fillId="0" fontId="4" numFmtId="0" xfId="0" applyAlignment="1" applyBorder="1" applyFont="1">
      <alignment horizontal="center" readingOrder="0"/>
    </xf>
    <xf borderId="0" fillId="2" fontId="5" numFmtId="0" xfId="0" applyAlignment="1" applyFill="1" applyFont="1">
      <alignment horizontal="right" readingOrder="0"/>
    </xf>
    <xf borderId="2" fillId="2" fontId="5" numFmtId="0" xfId="0" applyAlignment="1" applyBorder="1" applyFont="1">
      <alignment horizontal="center" readingOrder="0" shrinkToFit="0" wrapText="1"/>
    </xf>
    <xf borderId="3" fillId="0" fontId="6" numFmtId="0" xfId="0" applyBorder="1" applyFont="1"/>
    <xf borderId="4" fillId="0" fontId="6" numFmtId="0" xfId="0" applyBorder="1" applyFont="1"/>
    <xf borderId="2" fillId="2" fontId="5" numFmtId="0" xfId="0" applyAlignment="1" applyBorder="1" applyFont="1">
      <alignment horizontal="center" readingOrder="0"/>
    </xf>
    <xf borderId="5" fillId="2" fontId="5" numFmtId="0" xfId="0" applyAlignment="1" applyBorder="1" applyFont="1">
      <alignment horizontal="center" readingOrder="0"/>
    </xf>
    <xf borderId="0" fillId="2" fontId="4" numFmtId="0" xfId="0" applyFont="1"/>
    <xf borderId="6" fillId="2" fontId="5" numFmtId="0" xfId="0" applyAlignment="1" applyBorder="1" applyFont="1">
      <alignment horizontal="center" readingOrder="0" shrinkToFit="0" wrapText="1"/>
    </xf>
    <xf borderId="7" fillId="0" fontId="6" numFmtId="0" xfId="0" applyBorder="1" applyFont="1"/>
    <xf borderId="2" fillId="2" fontId="4" numFmtId="0" xfId="0" applyAlignment="1" applyBorder="1" applyFont="1">
      <alignment horizontal="center" readingOrder="0"/>
    </xf>
    <xf borderId="3" fillId="2" fontId="4" numFmtId="0" xfId="0" applyAlignment="1" applyBorder="1" applyFont="1">
      <alignment horizontal="center" readingOrder="0"/>
    </xf>
    <xf borderId="5" fillId="2" fontId="4" numFmtId="0" xfId="0" applyAlignment="1" applyBorder="1" applyFont="1">
      <alignment horizontal="center" readingOrder="0"/>
    </xf>
    <xf borderId="0" fillId="2" fontId="5" numFmtId="0" xfId="0" applyAlignment="1" applyFont="1">
      <alignment horizontal="center" readingOrder="0" shrinkToFit="0" wrapText="1"/>
    </xf>
    <xf borderId="0" fillId="2" fontId="4" numFmtId="0" xfId="0" applyAlignment="1" applyFont="1">
      <alignment horizontal="center" readingOrder="0"/>
    </xf>
    <xf borderId="8" fillId="2" fontId="4" numFmtId="0" xfId="0" applyAlignment="1" applyBorder="1" applyFont="1">
      <alignment horizontal="center" readingOrder="0"/>
    </xf>
    <xf borderId="0" fillId="2" fontId="4" numFmtId="0" xfId="0" applyAlignment="1" applyFont="1">
      <alignment readingOrder="0"/>
    </xf>
    <xf borderId="0" fillId="2" fontId="5" numFmtId="0" xfId="0" applyAlignment="1" applyFont="1">
      <alignment horizontal="right" readingOrder="0" shrinkToFit="0" wrapText="1"/>
    </xf>
    <xf borderId="0" fillId="2" fontId="7" numFmtId="0" xfId="0" applyAlignment="1" applyFont="1">
      <alignment horizontal="center" readingOrder="0" shrinkToFit="0" wrapText="1"/>
    </xf>
    <xf borderId="0" fillId="2" fontId="8" numFmtId="0" xfId="0" applyAlignment="1" applyFont="1">
      <alignment horizontal="center" readingOrder="0" shrinkToFit="0" wrapText="1"/>
    </xf>
    <xf borderId="0" fillId="2" fontId="8" numFmtId="0" xfId="0" applyAlignment="1" applyFont="1">
      <alignment horizontal="center" readingOrder="0" shrinkToFit="0" wrapText="1"/>
    </xf>
    <xf borderId="8" fillId="2" fontId="8" numFmtId="0" xfId="0" applyAlignment="1" applyBorder="1" applyFont="1">
      <alignment horizontal="center" readingOrder="0" shrinkToFit="0" wrapText="1"/>
    </xf>
    <xf borderId="0" fillId="2" fontId="8" numFmtId="0" xfId="0" applyAlignment="1" applyFont="1">
      <alignment readingOrder="0" shrinkToFit="0" wrapText="1"/>
    </xf>
    <xf borderId="0" fillId="2" fontId="8" numFmtId="0" xfId="0" applyAlignment="1" applyFont="1">
      <alignment shrinkToFit="0" wrapText="1"/>
    </xf>
    <xf borderId="0" fillId="0" fontId="5" numFmtId="0" xfId="0" applyAlignment="1" applyFont="1">
      <alignment horizontal="right" readingOrder="0"/>
    </xf>
    <xf borderId="0" fillId="0" fontId="5" numFmtId="0" xfId="0" applyAlignment="1" applyFont="1">
      <alignment readingOrder="0" shrinkToFit="0" wrapText="1"/>
    </xf>
    <xf borderId="8" fillId="0" fontId="4" numFmtId="0" xfId="0" applyBorder="1" applyFont="1"/>
    <xf borderId="9" fillId="0" fontId="9" numFmtId="0" xfId="0" applyAlignment="1" applyBorder="1" applyFont="1">
      <alignment horizontal="right" readingOrder="0"/>
    </xf>
    <xf borderId="10" fillId="0" fontId="9" numFmtId="0" xfId="0" applyAlignment="1" applyBorder="1" applyFont="1">
      <alignment horizontal="right" readingOrder="0" shrinkToFit="0" wrapText="1"/>
    </xf>
    <xf borderId="10" fillId="0" fontId="9" numFmtId="0" xfId="0" applyAlignment="1" applyBorder="1" applyFont="1">
      <alignment horizontal="right" readingOrder="0"/>
    </xf>
    <xf borderId="11" fillId="0" fontId="9" numFmtId="0" xfId="0" applyAlignment="1" applyBorder="1" applyFont="1">
      <alignment horizontal="right" readingOrder="0"/>
    </xf>
    <xf borderId="12" fillId="0" fontId="9" numFmtId="0" xfId="0" applyAlignment="1" applyBorder="1" applyFont="1">
      <alignment horizontal="right" readingOrder="0"/>
    </xf>
    <xf borderId="13" fillId="0" fontId="9" numFmtId="0" xfId="0" applyAlignment="1" applyBorder="1" applyFont="1">
      <alignment horizontal="right" readingOrder="0"/>
    </xf>
    <xf borderId="14" fillId="0" fontId="9" numFmtId="0" xfId="0" applyAlignment="1" applyBorder="1" applyFont="1">
      <alignment horizontal="right" readingOrder="0" shrinkToFit="0" wrapText="1"/>
    </xf>
    <xf borderId="14" fillId="0" fontId="9" numFmtId="0" xfId="0" applyAlignment="1" applyBorder="1" applyFont="1">
      <alignment horizontal="right" readingOrder="0"/>
    </xf>
    <xf borderId="0" fillId="0" fontId="9" numFmtId="0" xfId="0" applyAlignment="1" applyFont="1">
      <alignment horizontal="right" readingOrder="0"/>
    </xf>
    <xf borderId="15" fillId="0" fontId="9" numFmtId="0" xfId="0" applyAlignment="1" applyBorder="1" applyFont="1">
      <alignment horizontal="right" readingOrder="0"/>
    </xf>
    <xf borderId="16" fillId="0" fontId="9" numFmtId="0" xfId="0" applyAlignment="1" applyBorder="1" applyFont="1">
      <alignment horizontal="right" readingOrder="0"/>
    </xf>
    <xf borderId="17" fillId="0" fontId="9" numFmtId="9" xfId="0" applyAlignment="1" applyBorder="1" applyFont="1" applyNumberFormat="1">
      <alignment horizontal="right" readingOrder="0" shrinkToFit="0" wrapText="1"/>
    </xf>
    <xf borderId="1" fillId="0" fontId="9" numFmtId="9" xfId="0" applyAlignment="1" applyBorder="1" applyFont="1" applyNumberFormat="1">
      <alignment horizontal="right" readingOrder="0" shrinkToFit="0" wrapText="1"/>
    </xf>
    <xf borderId="18" fillId="0" fontId="9" numFmtId="9" xfId="0" applyAlignment="1" applyBorder="1" applyFont="1" applyNumberFormat="1">
      <alignment horizontal="right" readingOrder="0" shrinkToFit="0" wrapText="1"/>
    </xf>
    <xf borderId="0" fillId="0" fontId="9" numFmtId="0" xfId="0" applyAlignment="1" applyFont="1">
      <alignment horizontal="right" readingOrder="0" shrinkToFit="0" wrapText="1"/>
    </xf>
    <xf borderId="8" fillId="0" fontId="9" numFmtId="0" xfId="0" applyAlignment="1" applyBorder="1" applyFont="1">
      <alignment horizontal="right" readingOrder="0"/>
    </xf>
    <xf borderId="9" fillId="0" fontId="10" numFmtId="0" xfId="0" applyAlignment="1" applyBorder="1" applyFont="1">
      <alignment horizontal="right" readingOrder="0"/>
    </xf>
    <xf borderId="10" fillId="0" fontId="10" numFmtId="0" xfId="0" applyAlignment="1" applyBorder="1" applyFont="1">
      <alignment horizontal="right" readingOrder="0" shrinkToFit="0" wrapText="1"/>
    </xf>
    <xf borderId="10" fillId="0" fontId="10" numFmtId="0" xfId="0" applyAlignment="1" applyBorder="1" applyFont="1">
      <alignment horizontal="right" readingOrder="0"/>
    </xf>
    <xf borderId="11" fillId="0" fontId="10" numFmtId="0" xfId="0" applyAlignment="1" applyBorder="1" applyFont="1">
      <alignment horizontal="right" readingOrder="0"/>
    </xf>
    <xf borderId="12" fillId="0" fontId="10" numFmtId="0" xfId="0" applyAlignment="1" applyBorder="1" applyFont="1">
      <alignment horizontal="right" readingOrder="0"/>
    </xf>
    <xf borderId="13" fillId="0" fontId="10" numFmtId="0" xfId="0" applyAlignment="1" applyBorder="1" applyFont="1">
      <alignment horizontal="right" readingOrder="0"/>
    </xf>
    <xf borderId="14" fillId="0" fontId="10" numFmtId="0" xfId="0" applyAlignment="1" applyBorder="1" applyFont="1">
      <alignment horizontal="right" readingOrder="0" shrinkToFit="0" wrapText="1"/>
    </xf>
    <xf borderId="14" fillId="0" fontId="10" numFmtId="0" xfId="0" applyAlignment="1" applyBorder="1" applyFont="1">
      <alignment horizontal="right" readingOrder="0"/>
    </xf>
    <xf borderId="0" fillId="0" fontId="10" numFmtId="0" xfId="0" applyAlignment="1" applyFont="1">
      <alignment horizontal="right" readingOrder="0"/>
    </xf>
    <xf borderId="15" fillId="0" fontId="10" numFmtId="0" xfId="0" applyAlignment="1" applyBorder="1" applyFont="1">
      <alignment horizontal="right" readingOrder="0"/>
    </xf>
    <xf borderId="16" fillId="0" fontId="10" numFmtId="0" xfId="0" applyAlignment="1" applyBorder="1" applyFont="1">
      <alignment horizontal="right" readingOrder="0"/>
    </xf>
    <xf borderId="17" fillId="0" fontId="10" numFmtId="0" xfId="0" applyAlignment="1" applyBorder="1" applyFont="1">
      <alignment horizontal="right" readingOrder="0" shrinkToFit="0" wrapText="1"/>
    </xf>
    <xf borderId="17" fillId="0" fontId="10" numFmtId="0" xfId="0" applyAlignment="1" applyBorder="1" applyFont="1">
      <alignment horizontal="right" readingOrder="0"/>
    </xf>
    <xf borderId="1" fillId="0" fontId="10" numFmtId="0" xfId="0" applyAlignment="1" applyBorder="1" applyFont="1">
      <alignment horizontal="right" readingOrder="0"/>
    </xf>
    <xf borderId="18" fillId="0" fontId="10" numFmtId="0" xfId="0" applyAlignment="1" applyBorder="1" applyFont="1">
      <alignment horizontal="right" readingOrder="0"/>
    </xf>
    <xf borderId="0" fillId="0" fontId="10" numFmtId="0" xfId="0" applyAlignment="1" applyFont="1">
      <alignment horizontal="right" readingOrder="0" shrinkToFit="0" wrapText="1"/>
    </xf>
    <xf borderId="8" fillId="0" fontId="10" numFmtId="0" xfId="0" applyAlignment="1" applyBorder="1" applyFont="1">
      <alignment horizontal="right" readingOrder="0"/>
    </xf>
    <xf borderId="19" fillId="0" fontId="10" numFmtId="0" xfId="0" applyAlignment="1" applyBorder="1" applyFont="1">
      <alignment horizontal="right" readingOrder="0"/>
    </xf>
    <xf borderId="19" fillId="0" fontId="10" numFmtId="0" xfId="0" applyAlignment="1" applyBorder="1" applyFont="1">
      <alignment horizontal="right" readingOrder="0" shrinkToFit="0" wrapText="1"/>
    </xf>
    <xf borderId="20" fillId="0" fontId="10" numFmtId="0" xfId="0" applyAlignment="1" applyBorder="1" applyFont="1">
      <alignment horizontal="right" readingOrder="0"/>
    </xf>
    <xf borderId="21" fillId="0" fontId="10" numFmtId="0" xfId="0" applyAlignment="1" applyBorder="1" applyFont="1">
      <alignment horizontal="right" readingOrder="0"/>
    </xf>
    <xf borderId="0" fillId="0" fontId="11" numFmtId="0" xfId="0" applyAlignment="1" applyFont="1">
      <alignment horizontal="right" readingOrder="0"/>
    </xf>
    <xf borderId="0" fillId="0" fontId="11" numFmtId="0" xfId="0" applyAlignment="1" applyFont="1">
      <alignment horizontal="right" readingOrder="0" shrinkToFit="0" wrapText="1"/>
    </xf>
    <xf borderId="8" fillId="0" fontId="11" numFmtId="0" xfId="0" applyAlignment="1" applyBorder="1" applyFont="1">
      <alignment horizontal="right" readingOrder="0"/>
    </xf>
    <xf borderId="0" fillId="0" fontId="12" numFmtId="0" xfId="0" applyAlignment="1" applyFont="1">
      <alignment readingOrder="0"/>
    </xf>
    <xf borderId="0" fillId="0" fontId="12" numFmtId="0" xfId="0" applyFont="1"/>
    <xf borderId="0" fillId="0" fontId="13" numFmtId="0" xfId="0" applyAlignment="1" applyFont="1">
      <alignment horizontal="right" readingOrder="0"/>
    </xf>
    <xf borderId="0" fillId="0" fontId="13" numFmtId="0" xfId="0" applyAlignment="1" applyFont="1">
      <alignment horizontal="right" readingOrder="0" shrinkToFit="0" wrapText="1"/>
    </xf>
    <xf borderId="8" fillId="0" fontId="13" numFmtId="0" xfId="0" applyAlignment="1" applyBorder="1" applyFont="1">
      <alignment horizontal="right" readingOrder="0"/>
    </xf>
    <xf borderId="0" fillId="0" fontId="14" numFmtId="0" xfId="0" applyAlignment="1" applyFont="1">
      <alignment readingOrder="0"/>
    </xf>
    <xf borderId="0" fillId="0" fontId="14" numFmtId="0" xfId="0" applyFont="1"/>
    <xf borderId="0" fillId="0" fontId="15" numFmtId="0" xfId="0" applyAlignment="1" applyFont="1">
      <alignment horizontal="right" readingOrder="0"/>
    </xf>
    <xf borderId="0" fillId="0" fontId="15" numFmtId="0" xfId="0" applyAlignment="1" applyFont="1">
      <alignment horizontal="right" readingOrder="0" shrinkToFit="0" wrapText="1"/>
    </xf>
    <xf borderId="22" fillId="0" fontId="15" numFmtId="0" xfId="0" applyAlignment="1" applyBorder="1" applyFont="1">
      <alignment horizontal="right" readingOrder="0"/>
    </xf>
    <xf borderId="13" fillId="0" fontId="16" numFmtId="0" xfId="0" applyAlignment="1" applyBorder="1" applyFont="1">
      <alignment horizontal="right" readingOrder="0"/>
    </xf>
    <xf borderId="0" fillId="0" fontId="16" numFmtId="0" xfId="0" applyAlignment="1" applyFont="1">
      <alignment horizontal="right" readingOrder="0" shrinkToFit="0" wrapText="1"/>
    </xf>
    <xf borderId="0" fillId="0" fontId="16" numFmtId="0" xfId="0" applyFont="1"/>
    <xf borderId="0" fillId="0" fontId="16" numFmtId="0" xfId="0" applyAlignment="1" applyFont="1">
      <alignment readingOrder="0"/>
    </xf>
    <xf borderId="8" fillId="0" fontId="16" numFmtId="0" xfId="0" applyAlignment="1" applyBorder="1" applyFont="1">
      <alignment readingOrder="0"/>
    </xf>
    <xf borderId="0" fillId="0" fontId="17" numFmtId="0" xfId="0" applyAlignment="1" applyFont="1">
      <alignment readingOrder="0"/>
    </xf>
    <xf borderId="0" fillId="0" fontId="17" numFmtId="0" xfId="0" applyFont="1"/>
    <xf borderId="14" fillId="0" fontId="17" numFmtId="0" xfId="0" applyBorder="1" applyFont="1"/>
    <xf borderId="11" fillId="0" fontId="18" numFmtId="0" xfId="0" applyAlignment="1" applyBorder="1" applyFont="1">
      <alignment horizontal="right" readingOrder="0" shrinkToFit="0" vertical="top" wrapText="1"/>
    </xf>
    <xf borderId="11" fillId="0" fontId="19" numFmtId="0" xfId="0" applyAlignment="1" applyBorder="1" applyFont="1">
      <alignment readingOrder="0" shrinkToFit="0" vertical="top" wrapText="1"/>
    </xf>
    <xf borderId="11" fillId="0" fontId="19" numFmtId="9" xfId="0" applyAlignment="1" applyBorder="1" applyFont="1" applyNumberFormat="1">
      <alignment shrinkToFit="0" vertical="top" wrapText="1"/>
    </xf>
    <xf borderId="23" fillId="0" fontId="19" numFmtId="0" xfId="0" applyAlignment="1" applyBorder="1" applyFont="1">
      <alignment readingOrder="0" shrinkToFit="0" vertical="top" wrapText="1"/>
    </xf>
    <xf borderId="0" fillId="0" fontId="19" numFmtId="0" xfId="0" applyAlignment="1" applyFont="1">
      <alignment readingOrder="0" shrinkToFit="0" vertical="top" wrapText="1"/>
    </xf>
    <xf borderId="0" fillId="0" fontId="19" numFmtId="0" xfId="0" applyAlignment="1" applyFont="1">
      <alignment shrinkToFit="0" vertical="top" wrapText="1"/>
    </xf>
    <xf borderId="0" fillId="3" fontId="18" numFmtId="0" xfId="0" applyAlignment="1" applyFill="1" applyFont="1">
      <alignment horizontal="right" readingOrder="0" vertical="bottom"/>
    </xf>
    <xf borderId="0" fillId="3" fontId="20" numFmtId="9" xfId="0" applyAlignment="1" applyFont="1" applyNumberFormat="1">
      <alignment horizontal="right" readingOrder="0" shrinkToFit="0" wrapText="1"/>
    </xf>
    <xf borderId="0" fillId="3" fontId="20" numFmtId="9" xfId="0" applyAlignment="1" applyFont="1" applyNumberFormat="1">
      <alignment horizontal="right" shrinkToFit="0" wrapText="1"/>
    </xf>
    <xf borderId="0" fillId="0" fontId="19" numFmtId="0" xfId="0" applyAlignment="1" applyFont="1">
      <alignment vertical="bottom"/>
    </xf>
    <xf borderId="0" fillId="0" fontId="19" numFmtId="0" xfId="0" applyFont="1"/>
    <xf borderId="0" fillId="4" fontId="20" numFmtId="0" xfId="0" applyAlignment="1" applyFill="1" applyFont="1">
      <alignment horizontal="right" readingOrder="0"/>
    </xf>
    <xf borderId="0" fillId="4" fontId="20" numFmtId="9" xfId="0" applyAlignment="1" applyFont="1" applyNumberFormat="1">
      <alignment horizontal="right" shrinkToFit="0" wrapText="1"/>
    </xf>
    <xf borderId="0" fillId="4" fontId="20" numFmtId="9" xfId="0" applyAlignment="1" applyFont="1" applyNumberFormat="1">
      <alignment horizontal="right"/>
    </xf>
    <xf borderId="8" fillId="4" fontId="20" numFmtId="9" xfId="0" applyAlignment="1" applyBorder="1" applyFont="1" applyNumberFormat="1">
      <alignment horizontal="right"/>
    </xf>
    <xf borderId="0" fillId="5" fontId="20" numFmtId="0" xfId="0" applyAlignment="1" applyFill="1" applyFont="1">
      <alignment horizontal="right" readingOrder="0"/>
    </xf>
    <xf borderId="0" fillId="5" fontId="20" numFmtId="9" xfId="0" applyAlignment="1" applyFont="1" applyNumberFormat="1">
      <alignment horizontal="right" shrinkToFit="0" wrapText="1"/>
    </xf>
    <xf borderId="0" fillId="5" fontId="20" numFmtId="9" xfId="0" applyAlignment="1" applyFont="1" applyNumberFormat="1">
      <alignment horizontal="right"/>
    </xf>
    <xf borderId="8" fillId="5" fontId="20" numFmtId="9" xfId="0" applyAlignment="1" applyBorder="1" applyFont="1" applyNumberFormat="1">
      <alignment horizontal="right"/>
    </xf>
    <xf borderId="0" fillId="6" fontId="18" numFmtId="0" xfId="0" applyAlignment="1" applyFill="1" applyFont="1">
      <alignment horizontal="right" vertical="bottom"/>
    </xf>
    <xf borderId="0" fillId="6" fontId="18" numFmtId="9" xfId="0" applyAlignment="1" applyFont="1" applyNumberFormat="1">
      <alignment horizontal="right" shrinkToFit="0" vertical="bottom" wrapText="1"/>
    </xf>
    <xf borderId="8" fillId="6" fontId="18" numFmtId="9" xfId="0" applyAlignment="1" applyBorder="1" applyFont="1" applyNumberFormat="1">
      <alignment horizontal="right" shrinkToFit="0" vertical="bottom" wrapText="1"/>
    </xf>
    <xf borderId="0" fillId="0" fontId="18" numFmtId="9" xfId="0" applyAlignment="1" applyFont="1" applyNumberFormat="1">
      <alignment horizontal="center" vertical="bottom"/>
    </xf>
    <xf borderId="0" fillId="0" fontId="19" numFmtId="9" xfId="0" applyAlignment="1" applyFont="1" applyNumberFormat="1">
      <alignment vertical="bottom"/>
    </xf>
    <xf borderId="0" fillId="7" fontId="18" numFmtId="0" xfId="0" applyAlignment="1" applyFill="1" applyFont="1">
      <alignment horizontal="right" readingOrder="0" vertical="bottom"/>
    </xf>
    <xf borderId="0" fillId="7" fontId="18" numFmtId="9" xfId="0" applyAlignment="1" applyFont="1" applyNumberFormat="1">
      <alignment horizontal="right" shrinkToFit="0" vertical="bottom" wrapText="1"/>
    </xf>
    <xf borderId="8" fillId="7" fontId="18" numFmtId="9" xfId="0" applyAlignment="1" applyBorder="1" applyFont="1" applyNumberFormat="1">
      <alignment horizontal="right" shrinkToFit="0" vertical="bottom" wrapText="1"/>
    </xf>
    <xf borderId="0" fillId="8" fontId="18" numFmtId="0" xfId="0" applyAlignment="1" applyFill="1" applyFont="1">
      <alignment horizontal="right" vertical="bottom"/>
    </xf>
    <xf borderId="0" fillId="8" fontId="19" numFmtId="9" xfId="0" applyAlignment="1" applyFont="1" applyNumberFormat="1">
      <alignment horizontal="center" shrinkToFit="0" vertical="bottom" wrapText="1"/>
    </xf>
    <xf borderId="0" fillId="8" fontId="19" numFmtId="9" xfId="0" applyAlignment="1" applyFont="1" applyNumberFormat="1">
      <alignment horizontal="center" vertical="bottom"/>
    </xf>
    <xf borderId="8" fillId="8" fontId="19" numFmtId="9" xfId="0" applyAlignment="1" applyBorder="1" applyFont="1" applyNumberFormat="1">
      <alignment horizontal="center" vertical="bottom"/>
    </xf>
    <xf borderId="0" fillId="0" fontId="19" numFmtId="1" xfId="0" applyAlignment="1" applyFont="1" applyNumberFormat="1">
      <alignment vertical="bottom"/>
    </xf>
    <xf borderId="0" fillId="0" fontId="19" numFmtId="9" xfId="0" applyAlignment="1" applyFont="1" applyNumberFormat="1">
      <alignment horizontal="center" vertical="bottom"/>
    </xf>
    <xf borderId="0" fillId="3" fontId="18" numFmtId="0" xfId="0" applyAlignment="1" applyFont="1">
      <alignment horizontal="right" readingOrder="0" shrinkToFit="0" vertical="bottom" wrapText="1"/>
    </xf>
    <xf borderId="0" fillId="0" fontId="19" numFmtId="1" xfId="0" applyAlignment="1" applyFont="1" applyNumberFormat="1">
      <alignment readingOrder="0" vertical="bottom"/>
    </xf>
    <xf borderId="0" fillId="8" fontId="20" numFmtId="9" xfId="0" applyAlignment="1" applyFont="1" applyNumberFormat="1">
      <alignment horizontal="right" shrinkToFit="0" wrapText="1"/>
    </xf>
    <xf borderId="0" fillId="9" fontId="21" numFmtId="0" xfId="0" applyAlignment="1" applyFill="1" applyFont="1">
      <alignment horizontal="right" vertical="bottom"/>
    </xf>
    <xf borderId="0" fillId="9" fontId="19" numFmtId="0" xfId="0" applyAlignment="1" applyFont="1">
      <alignment shrinkToFit="0" vertical="bottom" wrapText="1"/>
    </xf>
    <xf borderId="0" fillId="9" fontId="19" numFmtId="0" xfId="0" applyAlignment="1" applyFont="1">
      <alignment vertical="bottom"/>
    </xf>
    <xf borderId="8" fillId="9" fontId="19" numFmtId="0" xfId="0" applyAlignment="1" applyBorder="1" applyFont="1">
      <alignment vertical="bottom"/>
    </xf>
    <xf borderId="0" fillId="0" fontId="19" numFmtId="0" xfId="0" applyAlignment="1" applyFont="1">
      <alignment vertical="bottom"/>
    </xf>
    <xf borderId="0" fillId="10" fontId="10" numFmtId="0" xfId="0" applyAlignment="1" applyFill="1" applyFont="1">
      <alignment horizontal="right" readingOrder="0"/>
    </xf>
    <xf borderId="0" fillId="0" fontId="19" numFmtId="0" xfId="0" applyAlignment="1" applyFont="1">
      <alignment readingOrder="0" shrinkToFit="0" vertical="bottom" wrapText="1"/>
    </xf>
    <xf borderId="0" fillId="0" fontId="19" numFmtId="0" xfId="0" applyAlignment="1" applyFont="1">
      <alignment readingOrder="0" vertical="bottom"/>
    </xf>
    <xf borderId="8" fillId="0" fontId="19" numFmtId="0" xfId="0" applyAlignment="1" applyBorder="1" applyFont="1">
      <alignment readingOrder="0" vertical="bottom"/>
    </xf>
    <xf borderId="8" fillId="0" fontId="19" numFmtId="0" xfId="0" applyAlignment="1" applyBorder="1" applyFont="1">
      <alignment vertical="bottom"/>
    </xf>
    <xf borderId="0" fillId="0" fontId="19" numFmtId="0" xfId="0" applyAlignment="1" applyFont="1">
      <alignment horizontal="right" readingOrder="0" shrinkToFit="0" vertical="bottom" wrapText="1"/>
    </xf>
    <xf borderId="0" fillId="11" fontId="19" numFmtId="0" xfId="0" applyAlignment="1" applyFill="1" applyFont="1">
      <alignment readingOrder="0" shrinkToFit="0" vertical="bottom" wrapText="1"/>
    </xf>
    <xf borderId="0" fillId="0" fontId="4" numFmtId="0" xfId="0" applyAlignment="1" applyFont="1">
      <alignment shrinkToFit="0" wrapText="1"/>
    </xf>
    <xf borderId="0" fillId="0" fontId="21" numFmtId="0" xfId="0" applyAlignment="1" applyFont="1">
      <alignment vertical="bottom"/>
    </xf>
    <xf borderId="0" fillId="0" fontId="22" numFmtId="0" xfId="0" applyFont="1"/>
    <xf borderId="0" fillId="0" fontId="19" numFmtId="0" xfId="0" applyAlignment="1" applyFont="1">
      <alignment shrinkToFit="0" wrapText="1"/>
    </xf>
    <xf borderId="0" fillId="0" fontId="23" numFmtId="0" xfId="0" applyFont="1"/>
    <xf borderId="0" fillId="0" fontId="19" numFmtId="0" xfId="0" applyFont="1"/>
    <xf borderId="0" fillId="0" fontId="24" numFmtId="0" xfId="0" applyFont="1"/>
    <xf borderId="0" fillId="0" fontId="21" numFmtId="0" xfId="0" applyFont="1"/>
    <xf borderId="0" fillId="0" fontId="25" numFmtId="0" xfId="0" applyFont="1"/>
    <xf borderId="0" fillId="0" fontId="19" numFmtId="0" xfId="0" applyAlignment="1" applyFont="1">
      <alignment vertical="bottom"/>
    </xf>
    <xf borderId="0" fillId="0" fontId="26" numFmtId="0" xfId="0" applyFont="1"/>
    <xf borderId="0" fillId="0" fontId="27" numFmtId="0" xfId="0" applyFont="1"/>
    <xf borderId="0" fillId="0" fontId="28" numFmtId="0" xfId="0" applyAlignment="1" applyFont="1">
      <alignment shrinkToFit="0" wrapText="1"/>
    </xf>
    <xf borderId="0" fillId="11" fontId="19" numFmtId="0" xfId="0" applyAlignment="1" applyFont="1">
      <alignment shrinkToFit="0" vertical="bottom" wrapText="1"/>
    </xf>
    <xf borderId="0" fillId="0" fontId="19" numFmtId="0" xfId="0" applyAlignment="1" applyFont="1">
      <alignment horizontal="center"/>
    </xf>
    <xf borderId="0" fillId="0" fontId="19" numFmtId="0" xfId="0" applyAlignment="1" applyFont="1">
      <alignment shrinkToFit="0" vertical="bottom" wrapText="1"/>
    </xf>
    <xf borderId="13" fillId="0" fontId="1" numFmtId="0" xfId="0" applyAlignment="1" applyBorder="1" applyFont="1">
      <alignment horizontal="center" readingOrder="0" vertical="center"/>
    </xf>
    <xf borderId="24" fillId="2" fontId="8" numFmtId="0" xfId="0" applyAlignment="1" applyBorder="1" applyFont="1">
      <alignment horizontal="center" readingOrder="0"/>
    </xf>
    <xf borderId="25" fillId="0" fontId="6" numFmtId="0" xfId="0" applyBorder="1" applyFont="1"/>
    <xf borderId="26" fillId="2" fontId="29" numFmtId="0" xfId="0" applyAlignment="1" applyBorder="1" applyFont="1">
      <alignment shrinkToFit="0" vertical="bottom" wrapText="1"/>
    </xf>
    <xf borderId="26" fillId="2" fontId="29" numFmtId="0" xfId="0" applyAlignment="1" applyBorder="1" applyFont="1">
      <alignment readingOrder="0" shrinkToFit="0" vertical="bottom" wrapText="1"/>
    </xf>
    <xf borderId="26" fillId="2" fontId="29" numFmtId="0" xfId="0" applyAlignment="1" applyBorder="1" applyFont="1">
      <alignment horizontal="center" readingOrder="0" shrinkToFit="0" vertical="bottom" wrapText="1"/>
    </xf>
    <xf borderId="19" fillId="2" fontId="29" numFmtId="0" xfId="0" applyAlignment="1" applyBorder="1" applyFont="1">
      <alignment horizontal="center" readingOrder="0" shrinkToFit="0" vertical="bottom" wrapText="1"/>
    </xf>
    <xf borderId="0" fillId="2" fontId="29" numFmtId="0" xfId="0" applyAlignment="1" applyFont="1">
      <alignment horizontal="center" shrinkToFit="0" vertical="bottom" wrapText="1"/>
    </xf>
    <xf borderId="0" fillId="2" fontId="29" numFmtId="0" xfId="0" applyAlignment="1" applyFont="1">
      <alignment horizontal="center" readingOrder="0" shrinkToFit="0" vertical="bottom" wrapText="1"/>
    </xf>
    <xf borderId="27" fillId="0" fontId="30" numFmtId="0" xfId="0" applyAlignment="1" applyBorder="1" applyFont="1">
      <alignment horizontal="right" vertical="bottom"/>
    </xf>
    <xf borderId="23" fillId="0" fontId="9" numFmtId="0" xfId="0" applyAlignment="1" applyBorder="1" applyFont="1">
      <alignment horizontal="right" readingOrder="0"/>
    </xf>
    <xf borderId="19" fillId="0" fontId="9" numFmtId="0" xfId="0" applyAlignment="1" applyBorder="1" applyFont="1">
      <alignment horizontal="right" readingOrder="0"/>
    </xf>
    <xf borderId="28" fillId="0" fontId="30" numFmtId="0" xfId="0" applyAlignment="1" applyBorder="1" applyFont="1">
      <alignment horizontal="right" vertical="bottom"/>
    </xf>
    <xf borderId="16" fillId="0" fontId="15" numFmtId="0" xfId="0" applyAlignment="1" applyBorder="1" applyFont="1">
      <alignment horizontal="right" readingOrder="0"/>
    </xf>
    <xf borderId="29" fillId="0" fontId="31" numFmtId="9" xfId="0" applyAlignment="1" applyBorder="1" applyFont="1" applyNumberFormat="1">
      <alignment horizontal="right" shrinkToFit="0" vertical="bottom" wrapText="1"/>
    </xf>
    <xf borderId="16" fillId="0" fontId="31" numFmtId="9" xfId="0" applyAlignment="1" applyBorder="1" applyFont="1" applyNumberFormat="1">
      <alignment horizontal="right" shrinkToFit="0" vertical="bottom" wrapText="1"/>
    </xf>
    <xf borderId="19" fillId="0" fontId="31" numFmtId="9" xfId="0" applyAlignment="1" applyBorder="1" applyFont="1" applyNumberFormat="1">
      <alignment horizontal="right" shrinkToFit="0" vertical="bottom" wrapText="1"/>
    </xf>
    <xf borderId="17" fillId="0" fontId="31" numFmtId="9" xfId="0" applyAlignment="1" applyBorder="1" applyFont="1" applyNumberFormat="1">
      <alignment horizontal="right" shrinkToFit="0" vertical="bottom" wrapText="1"/>
    </xf>
    <xf borderId="17" fillId="0" fontId="15" numFmtId="9" xfId="0" applyAlignment="1" applyBorder="1" applyFont="1" applyNumberFormat="1">
      <alignment horizontal="right" readingOrder="0" shrinkToFit="0" wrapText="1"/>
    </xf>
    <xf borderId="18" fillId="0" fontId="15" numFmtId="9" xfId="0" applyAlignment="1" applyBorder="1" applyFont="1" applyNumberFormat="1">
      <alignment horizontal="right" readingOrder="0" shrinkToFit="0" wrapText="1"/>
    </xf>
    <xf borderId="0" fillId="0" fontId="32" numFmtId="0" xfId="0" applyFont="1"/>
    <xf borderId="1" fillId="0" fontId="19" numFmtId="0" xfId="0" applyAlignment="1" applyBorder="1" applyFont="1">
      <alignment vertical="bottom"/>
    </xf>
    <xf borderId="29" fillId="0" fontId="31" numFmtId="0" xfId="0" applyAlignment="1" applyBorder="1" applyFont="1">
      <alignment horizontal="right" vertical="bottom"/>
    </xf>
    <xf borderId="17" fillId="0" fontId="15" numFmtId="0" xfId="0" applyAlignment="1" applyBorder="1" applyFont="1">
      <alignment horizontal="right" readingOrder="0"/>
    </xf>
    <xf borderId="1" fillId="0" fontId="15" numFmtId="0" xfId="0" applyAlignment="1" applyBorder="1" applyFont="1">
      <alignment horizontal="right" readingOrder="0"/>
    </xf>
    <xf borderId="29" fillId="0" fontId="19" numFmtId="0" xfId="0" applyAlignment="1" applyBorder="1" applyFont="1">
      <alignment vertical="bottom"/>
    </xf>
    <xf borderId="0" fillId="0" fontId="30" numFmtId="0" xfId="0" applyAlignment="1" applyFont="1">
      <alignment horizontal="right" vertical="bottom"/>
    </xf>
    <xf borderId="0" fillId="0" fontId="33" numFmtId="0" xfId="0" applyAlignment="1" applyFont="1">
      <alignment horizontal="right" vertical="bottom"/>
    </xf>
    <xf borderId="11" fillId="0" fontId="21" numFmtId="0" xfId="0" applyAlignment="1" applyBorder="1" applyFont="1">
      <alignment readingOrder="0" shrinkToFit="0" vertical="top" wrapText="1"/>
    </xf>
    <xf borderId="0" fillId="0" fontId="18" numFmtId="0" xfId="0" applyAlignment="1" applyFont="1">
      <alignment horizontal="right" readingOrder="0" shrinkToFit="0" vertical="top" wrapText="1"/>
    </xf>
    <xf borderId="0" fillId="3" fontId="34" numFmtId="10" xfId="0" applyAlignment="1" applyFont="1" applyNumberFormat="1">
      <alignment horizontal="right" readingOrder="0" vertical="bottom"/>
    </xf>
    <xf borderId="0" fillId="3" fontId="34" numFmtId="9" xfId="0" applyAlignment="1" applyFont="1" applyNumberFormat="1">
      <alignment horizontal="right" shrinkToFit="0" vertical="bottom" wrapText="1"/>
    </xf>
    <xf borderId="0" fillId="0" fontId="19" numFmtId="10" xfId="0" applyAlignment="1" applyFont="1" applyNumberFormat="1">
      <alignment vertical="bottom"/>
    </xf>
    <xf borderId="0" fillId="3" fontId="34" numFmtId="0" xfId="0" applyAlignment="1" applyFont="1">
      <alignment horizontal="right" vertical="bottom"/>
    </xf>
    <xf borderId="0" fillId="0" fontId="19" numFmtId="9" xfId="0" applyAlignment="1" applyFont="1" applyNumberFormat="1">
      <alignment vertical="bottom"/>
    </xf>
    <xf borderId="0" fillId="0" fontId="19" numFmtId="1" xfId="0" applyAlignment="1" applyFont="1" applyNumberFormat="1">
      <alignment vertical="bottom"/>
    </xf>
    <xf borderId="0" fillId="3" fontId="34" numFmtId="0" xfId="0" applyAlignment="1" applyFont="1">
      <alignment horizontal="right" shrinkToFit="0" vertical="bottom" wrapText="1"/>
    </xf>
    <xf borderId="0" fillId="3" fontId="34" numFmtId="9" xfId="0" applyAlignment="1" applyFont="1" applyNumberFormat="1">
      <alignment horizontal="right" readingOrder="0" shrinkToFit="0" vertical="bottom" wrapText="1"/>
    </xf>
    <xf borderId="0" fillId="8" fontId="34" numFmtId="9" xfId="0" applyAlignment="1" applyFont="1" applyNumberFormat="1">
      <alignment horizontal="right" shrinkToFit="0" vertical="bottom" wrapText="1"/>
    </xf>
    <xf borderId="0" fillId="3" fontId="34" numFmtId="0" xfId="0" applyAlignment="1" applyFont="1">
      <alignment horizontal="right" readingOrder="0" vertical="bottom"/>
    </xf>
    <xf borderId="0" fillId="0" fontId="10" numFmtId="0" xfId="0" applyAlignment="1" applyFont="1">
      <alignment shrinkToFit="0" wrapText="1"/>
    </xf>
    <xf borderId="0" fillId="8" fontId="34" numFmtId="9" xfId="0" applyAlignment="1" applyFont="1" applyNumberFormat="1">
      <alignment horizontal="right" readingOrder="0" shrinkToFit="0" vertical="bottom" wrapText="1"/>
    </xf>
    <xf borderId="0" fillId="10" fontId="30" numFmtId="0" xfId="0" applyAlignment="1" applyFont="1">
      <alignment vertical="bottom"/>
    </xf>
    <xf borderId="0" fillId="0" fontId="19" numFmtId="0" xfId="0" applyAlignment="1" applyFont="1">
      <alignment horizontal="right" vertical="bottom"/>
    </xf>
    <xf borderId="0" fillId="10" fontId="30" numFmtId="0" xfId="0" applyAlignment="1" applyFont="1">
      <alignment readingOrder="0" vertical="bottom"/>
    </xf>
    <xf borderId="0" fillId="0" fontId="4" numFmtId="0" xfId="0" applyAlignment="1" applyFont="1">
      <alignment readingOrder="0"/>
    </xf>
    <xf borderId="0" fillId="0" fontId="19" numFmtId="0" xfId="0" applyAlignment="1" applyFont="1">
      <alignment horizontal="right" readingOrder="0" vertical="bottom"/>
    </xf>
    <xf borderId="0" fillId="0" fontId="19" numFmtId="0" xfId="0" applyAlignment="1" applyFont="1">
      <alignment horizontal="right" vertical="bottom"/>
    </xf>
    <xf borderId="0" fillId="10" fontId="30" numFmtId="0" xfId="0" applyAlignment="1" applyFont="1">
      <alignment horizontal="right" vertical="bottom"/>
    </xf>
    <xf borderId="0" fillId="0" fontId="19" numFmtId="0" xfId="0" applyAlignment="1" applyFont="1">
      <alignment horizontal="right" shrinkToFit="0" vertical="bottom" wrapText="1"/>
    </xf>
    <xf borderId="0" fillId="0" fontId="19" numFmtId="0" xfId="0" applyAlignment="1" applyFont="1">
      <alignment horizontal="right" readingOrder="0" shrinkToFit="0" vertical="bottom" wrapText="1"/>
    </xf>
    <xf borderId="0" fillId="0" fontId="19" numFmtId="0" xfId="0" applyAlignment="1" applyFont="1">
      <alignment vertical="bottom"/>
    </xf>
    <xf borderId="0" fillId="2" fontId="5" numFmtId="0" xfId="0" applyAlignment="1" applyFont="1">
      <alignment horizontal="center" readingOrder="0"/>
    </xf>
    <xf borderId="8" fillId="2" fontId="10" numFmtId="0" xfId="0" applyAlignment="1" applyBorder="1" applyFont="1">
      <alignment horizontal="center" readingOrder="0"/>
    </xf>
    <xf borderId="0" fillId="2" fontId="10" numFmtId="0" xfId="0" applyAlignment="1" applyFont="1">
      <alignment horizontal="center" readingOrder="0"/>
    </xf>
    <xf borderId="0" fillId="2" fontId="10" numFmtId="0" xfId="0" applyAlignment="1" applyFont="1">
      <alignment readingOrder="0"/>
    </xf>
    <xf borderId="0" fillId="2" fontId="10" numFmtId="0" xfId="0" applyFont="1"/>
    <xf borderId="0" fillId="2" fontId="7" numFmtId="0" xfId="0" applyAlignment="1" applyFont="1">
      <alignment horizontal="center" readingOrder="0" shrinkToFit="0" wrapText="1"/>
    </xf>
    <xf borderId="8" fillId="2" fontId="5" numFmtId="0" xfId="0" applyAlignment="1" applyBorder="1" applyFont="1">
      <alignment horizontal="center" readingOrder="0" shrinkToFit="0" wrapText="1"/>
    </xf>
    <xf borderId="0" fillId="2" fontId="5" numFmtId="0" xfId="0" applyAlignment="1" applyFont="1">
      <alignment horizontal="center" readingOrder="0" shrinkToFit="0" wrapText="1"/>
    </xf>
    <xf borderId="0" fillId="2" fontId="5" numFmtId="0" xfId="0" applyAlignment="1" applyFont="1">
      <alignment readingOrder="0" shrinkToFit="0" wrapText="1"/>
    </xf>
    <xf borderId="0" fillId="2" fontId="5" numFmtId="0" xfId="0" applyAlignment="1" applyFont="1">
      <alignment shrinkToFit="0" wrapText="1"/>
    </xf>
    <xf borderId="0" fillId="0" fontId="10" numFmtId="0" xfId="0" applyFont="1"/>
    <xf borderId="8" fillId="0" fontId="10" numFmtId="0" xfId="0" applyBorder="1" applyFont="1"/>
    <xf borderId="27" fillId="0" fontId="4" numFmtId="0" xfId="0" applyAlignment="1" applyBorder="1" applyFont="1">
      <alignment readingOrder="0"/>
    </xf>
    <xf borderId="0" fillId="0" fontId="11" numFmtId="0" xfId="0" applyAlignment="1" applyFont="1">
      <alignment readingOrder="0"/>
    </xf>
    <xf borderId="0" fillId="0" fontId="11" numFmtId="0" xfId="0" applyFont="1"/>
    <xf borderId="0" fillId="0" fontId="13" numFmtId="0" xfId="0" applyAlignment="1" applyFont="1">
      <alignment readingOrder="0"/>
    </xf>
    <xf borderId="0" fillId="0" fontId="13" numFmtId="0" xfId="0" applyFont="1"/>
    <xf borderId="14" fillId="0" fontId="16" numFmtId="0" xfId="0" applyBorder="1" applyFont="1"/>
    <xf borderId="11" fillId="0" fontId="35" numFmtId="0" xfId="0" applyAlignment="1" applyBorder="1" applyFont="1">
      <alignment readingOrder="0" shrinkToFit="0" vertical="top" wrapText="1"/>
    </xf>
    <xf borderId="11" fillId="0" fontId="36" numFmtId="0" xfId="0" applyAlignment="1" applyBorder="1" applyFont="1">
      <alignment readingOrder="0" shrinkToFit="0" vertical="top" wrapText="1"/>
    </xf>
    <xf borderId="11" fillId="0" fontId="10" numFmtId="0" xfId="0" applyAlignment="1" applyBorder="1" applyFont="1">
      <alignment readingOrder="0" shrinkToFit="0" vertical="top" wrapText="1"/>
    </xf>
    <xf borderId="23" fillId="0" fontId="10" numFmtId="0" xfId="0" applyAlignment="1" applyBorder="1" applyFont="1">
      <alignment readingOrder="0" shrinkToFit="0" vertical="top" wrapText="1"/>
    </xf>
    <xf borderId="0" fillId="0" fontId="10" numFmtId="0" xfId="0" applyAlignment="1" applyFont="1">
      <alignment readingOrder="0" shrinkToFit="0" vertical="top" wrapText="1"/>
    </xf>
    <xf borderId="0" fillId="0" fontId="10" numFmtId="0" xfId="0" applyAlignment="1" applyFont="1">
      <alignment shrinkToFit="0" vertical="top" wrapText="1"/>
    </xf>
    <xf borderId="0" fillId="0" fontId="10" numFmtId="0" xfId="0" applyAlignment="1" applyFont="1">
      <alignment vertical="bottom"/>
    </xf>
    <xf borderId="0" fillId="6" fontId="20" numFmtId="9" xfId="0" applyAlignment="1" applyFont="1" applyNumberFormat="1">
      <alignment horizontal="right" shrinkToFit="0" vertical="bottom" wrapText="1"/>
    </xf>
    <xf borderId="8" fillId="6" fontId="20" numFmtId="9" xfId="0" applyAlignment="1" applyBorder="1" applyFont="1" applyNumberFormat="1">
      <alignment horizontal="right" shrinkToFit="0" vertical="bottom" wrapText="1"/>
    </xf>
    <xf borderId="0" fillId="0" fontId="20" numFmtId="9" xfId="0" applyAlignment="1" applyFont="1" applyNumberFormat="1">
      <alignment horizontal="center" vertical="bottom"/>
    </xf>
    <xf borderId="0" fillId="0" fontId="10" numFmtId="9" xfId="0" applyAlignment="1" applyFont="1" applyNumberFormat="1">
      <alignment vertical="bottom"/>
    </xf>
    <xf borderId="0" fillId="7" fontId="20" numFmtId="9" xfId="0" applyAlignment="1" applyFont="1" applyNumberFormat="1">
      <alignment horizontal="right" shrinkToFit="0" vertical="bottom" wrapText="1"/>
    </xf>
    <xf borderId="8" fillId="7" fontId="20" numFmtId="9" xfId="0" applyAlignment="1" applyBorder="1" applyFont="1" applyNumberFormat="1">
      <alignment horizontal="right" shrinkToFit="0" vertical="bottom" wrapText="1"/>
    </xf>
    <xf borderId="0" fillId="8" fontId="10" numFmtId="9" xfId="0" applyAlignment="1" applyFont="1" applyNumberFormat="1">
      <alignment horizontal="center" vertical="bottom"/>
    </xf>
    <xf borderId="8" fillId="8" fontId="10" numFmtId="9" xfId="0" applyAlignment="1" applyBorder="1" applyFont="1" applyNumberFormat="1">
      <alignment horizontal="center" vertical="bottom"/>
    </xf>
    <xf borderId="0" fillId="0" fontId="10" numFmtId="1" xfId="0" applyAlignment="1" applyFont="1" applyNumberFormat="1">
      <alignment vertical="bottom"/>
    </xf>
    <xf borderId="0" fillId="3" fontId="34" numFmtId="10" xfId="0" applyAlignment="1" applyFont="1" applyNumberFormat="1">
      <alignment horizontal="right" shrinkToFit="0" vertical="bottom" wrapText="1"/>
    </xf>
    <xf borderId="0" fillId="0" fontId="37" numFmtId="0" xfId="0" applyAlignment="1" applyFont="1">
      <alignment readingOrder="0" shrinkToFit="0" wrapText="1"/>
    </xf>
    <xf borderId="0" fillId="0" fontId="38" numFmtId="0" xfId="0" applyAlignment="1" applyFont="1">
      <alignment readingOrder="0"/>
    </xf>
    <xf borderId="0" fillId="0" fontId="39" numFmtId="0" xfId="0" applyAlignment="1" applyFont="1">
      <alignment readingOrder="0"/>
    </xf>
    <xf borderId="0" fillId="0" fontId="40" numFmtId="0" xfId="0" applyAlignment="1" applyFont="1">
      <alignment readingOrder="0"/>
    </xf>
    <xf borderId="0" fillId="0" fontId="38" numFmtId="0" xfId="0" applyAlignment="1" applyFont="1">
      <alignment horizontal="left" readingOrder="0"/>
    </xf>
    <xf borderId="0" fillId="0" fontId="38" numFmtId="0" xfId="0" applyAlignment="1" applyFont="1">
      <alignment horizontal="left" readingOrder="0"/>
    </xf>
    <xf borderId="0" fillId="0" fontId="38" numFmtId="0" xfId="0" applyAlignment="1" applyFont="1">
      <alignment horizontal="left" readingOrder="0"/>
    </xf>
    <xf borderId="0" fillId="0" fontId="38" numFmtId="0" xfId="0" applyAlignment="1" applyFont="1">
      <alignment readingOrder="0" shrinkToFit="0" wrapText="1"/>
    </xf>
    <xf borderId="0" fillId="0" fontId="40" numFmtId="0" xfId="0" applyAlignment="1" applyFont="1">
      <alignment readingOrder="0" shrinkToFit="0" wrapText="1"/>
    </xf>
    <xf borderId="0" fillId="0" fontId="41" numFmtId="0" xfId="0" applyAlignment="1" applyFont="1">
      <alignment readingOrder="0" shrinkToFit="0" wrapText="1"/>
    </xf>
    <xf borderId="0" fillId="9" fontId="42" numFmtId="0" xfId="0" applyAlignment="1" applyFont="1">
      <alignment shrinkToFit="0" vertical="bottom" wrapText="1"/>
    </xf>
    <xf borderId="0" fillId="9" fontId="10" numFmtId="0" xfId="0" applyAlignment="1" applyFont="1">
      <alignment shrinkToFit="0" vertical="bottom" wrapText="1"/>
    </xf>
    <xf borderId="8" fillId="9" fontId="10" numFmtId="0" xfId="0" applyAlignment="1" applyBorder="1" applyFont="1">
      <alignment vertical="bottom"/>
    </xf>
    <xf borderId="0" fillId="9" fontId="10" numFmtId="0" xfId="0" applyAlignment="1" applyFont="1">
      <alignment vertical="bottom"/>
    </xf>
    <xf borderId="0" fillId="0" fontId="42" numFmtId="0" xfId="0" applyAlignment="1" applyFont="1">
      <alignment readingOrder="0" shrinkToFit="0" vertical="bottom" wrapText="1"/>
    </xf>
    <xf borderId="0" fillId="0" fontId="42" numFmtId="0" xfId="0" applyAlignment="1" applyFont="1">
      <alignment readingOrder="0" vertical="bottom"/>
    </xf>
    <xf borderId="0" fillId="0" fontId="42" numFmtId="0" xfId="0" applyAlignment="1" applyFont="1">
      <alignment vertical="bottom"/>
    </xf>
    <xf borderId="0" fillId="0" fontId="10" numFmtId="0" xfId="0" applyAlignment="1" applyFont="1">
      <alignment readingOrder="0" vertical="bottom"/>
    </xf>
    <xf borderId="8" fillId="0" fontId="10" numFmtId="0" xfId="0" applyAlignment="1" applyBorder="1" applyFont="1">
      <alignment readingOrder="0" vertical="bottom"/>
    </xf>
    <xf borderId="8" fillId="0" fontId="10" numFmtId="0" xfId="0" applyAlignment="1" applyBorder="1" applyFont="1">
      <alignment vertical="bottom"/>
    </xf>
    <xf borderId="0" fillId="11" fontId="42" numFmtId="0" xfId="0" applyAlignment="1" applyFont="1">
      <alignment readingOrder="0" shrinkToFit="0" vertical="bottom" wrapText="1"/>
    </xf>
    <xf borderId="0" fillId="9" fontId="21" numFmtId="0" xfId="0" applyAlignment="1" applyFont="1">
      <alignment horizontal="right" readingOrder="0" vertical="bottom"/>
    </xf>
    <xf borderId="0" fillId="0" fontId="42" numFmtId="0" xfId="0" applyAlignment="1" applyFont="1">
      <alignment readingOrder="0" shrinkToFit="0" wrapText="1"/>
    </xf>
    <xf borderId="0" fillId="0" fontId="42" numFmtId="0" xfId="0" applyAlignment="1" applyFont="1">
      <alignment readingOrder="0"/>
    </xf>
    <xf borderId="0" fillId="0" fontId="10" numFmtId="0" xfId="0" applyAlignment="1" applyFont="1">
      <alignment readingOrder="0"/>
    </xf>
    <xf borderId="0" fillId="0" fontId="42" numFmtId="0" xfId="0" applyFont="1"/>
    <xf borderId="0" fillId="0" fontId="42" numFmtId="0" xfId="0" applyAlignment="1" applyFont="1">
      <alignment shrinkToFit="0" wrapText="1"/>
    </xf>
    <xf borderId="0" fillId="12" fontId="42" numFmtId="0" xfId="0" applyAlignment="1" applyFill="1" applyFont="1">
      <alignment shrinkToFit="0" wrapText="1"/>
    </xf>
    <xf borderId="0" fillId="12" fontId="42" numFmtId="0" xfId="0" applyFont="1"/>
    <xf borderId="0" fillId="12" fontId="42" numFmtId="0" xfId="0" applyAlignment="1" applyFont="1">
      <alignment readingOrder="0"/>
    </xf>
    <xf borderId="0" fillId="12" fontId="10" numFmtId="0" xfId="0" applyAlignment="1" applyFont="1">
      <alignment readingOrder="0"/>
    </xf>
    <xf borderId="8" fillId="12" fontId="10" numFmtId="0" xfId="0" applyBorder="1" applyFont="1"/>
    <xf borderId="0" fillId="12" fontId="10" numFmtId="0" xfId="0" applyFont="1"/>
    <xf borderId="0" fillId="0" fontId="42" numFmtId="10" xfId="0" applyFont="1" applyNumberFormat="1"/>
    <xf borderId="22" fillId="2" fontId="7" numFmtId="0" xfId="0" applyAlignment="1" applyBorder="1" applyFont="1">
      <alignment horizontal="center" readingOrder="0" shrinkToFit="0" wrapText="1"/>
    </xf>
    <xf borderId="14" fillId="0" fontId="15" numFmtId="0" xfId="0" applyAlignment="1" applyBorder="1" applyFont="1">
      <alignment horizontal="right" readingOrder="0" shrinkToFit="0" wrapText="1"/>
    </xf>
    <xf borderId="1" fillId="0" fontId="16" numFmtId="0" xfId="0" applyAlignment="1" applyBorder="1" applyFont="1">
      <alignment horizontal="right" readingOrder="0" shrinkToFit="0" wrapText="1"/>
    </xf>
    <xf borderId="1" fillId="0" fontId="16" numFmtId="0" xfId="0" applyAlignment="1" applyBorder="1" applyFont="1">
      <alignment readingOrder="0"/>
    </xf>
    <xf borderId="0" fillId="11" fontId="43" numFmtId="0" xfId="0" applyAlignment="1" applyFont="1">
      <alignment horizontal="left" readingOrder="0" shrinkToFit="0" vertical="top" wrapText="1"/>
    </xf>
    <xf borderId="11" fillId="11" fontId="43" numFmtId="0" xfId="0" applyAlignment="1" applyBorder="1" applyFont="1">
      <alignment horizontal="left" readingOrder="0" shrinkToFit="0" vertical="top" wrapText="1"/>
    </xf>
    <xf borderId="11" fillId="0" fontId="43" numFmtId="0" xfId="0" applyAlignment="1" applyBorder="1" applyFont="1">
      <alignment readingOrder="0" shrinkToFit="0" vertical="top" wrapText="1"/>
    </xf>
    <xf borderId="11" fillId="0" fontId="43" numFmtId="0" xfId="0" applyAlignment="1" applyBorder="1" applyFont="1">
      <alignment readingOrder="0" shrinkToFit="0" vertical="top" wrapText="1"/>
    </xf>
    <xf borderId="0" fillId="9" fontId="19" numFmtId="0" xfId="0" applyAlignment="1" applyFont="1">
      <alignment readingOrder="0" shrinkToFit="0" vertical="bottom" wrapText="1"/>
    </xf>
    <xf borderId="0" fillId="9" fontId="19" numFmtId="0" xfId="0" applyAlignment="1" applyFont="1">
      <alignment readingOrder="0" vertical="bottom"/>
    </xf>
    <xf borderId="8" fillId="9" fontId="19" numFmtId="0" xfId="0" applyAlignment="1" applyBorder="1" applyFont="1">
      <alignment readingOrder="0" vertical="bottom"/>
    </xf>
    <xf borderId="0" fillId="0" fontId="19" numFmtId="0" xfId="0" applyAlignment="1" applyFont="1">
      <alignment horizontal="right" shrinkToFit="0" vertical="bottom" wrapText="1"/>
    </xf>
    <xf borderId="0" fillId="10" fontId="30" numFmtId="0" xfId="0" applyAlignment="1" applyFont="1">
      <alignment horizontal="right" readingOrder="0" vertical="bottom"/>
    </xf>
    <xf borderId="22" fillId="0" fontId="19" numFmtId="0" xfId="0" applyAlignment="1" applyBorder="1" applyFont="1">
      <alignment readingOrder="0" vertical="bottom"/>
    </xf>
    <xf borderId="0" fillId="9" fontId="19" numFmtId="0" xfId="0" applyAlignment="1" applyFont="1">
      <alignment horizontal="right" readingOrder="0" vertical="bottom"/>
    </xf>
    <xf borderId="0" fillId="11" fontId="19" numFmtId="0" xfId="0" applyAlignment="1" applyFont="1">
      <alignment horizontal="right" shrinkToFit="0" vertical="bottom" wrapText="1"/>
    </xf>
    <xf borderId="0" fillId="0" fontId="19" numFmtId="0" xfId="0" applyAlignment="1" applyFont="1">
      <alignment horizontal="right" vertical="bottom"/>
    </xf>
    <xf borderId="0" fillId="11" fontId="44" numFmtId="0" xfId="0" applyAlignment="1" applyFont="1">
      <alignment horizontal="right" readingOrder="0"/>
    </xf>
    <xf borderId="2" fillId="2" fontId="8" numFmtId="0" xfId="0" applyAlignment="1" applyBorder="1" applyFont="1">
      <alignment horizontal="center" readingOrder="0"/>
    </xf>
    <xf borderId="10" fillId="0" fontId="10" numFmtId="0" xfId="0" applyAlignment="1" applyBorder="1" applyFont="1">
      <alignment horizontal="right" readingOrder="0"/>
    </xf>
    <xf borderId="11" fillId="0" fontId="45" numFmtId="0" xfId="0" applyAlignment="1" applyBorder="1" applyFont="1">
      <alignment readingOrder="0" shrinkToFit="0" vertical="top" wrapText="1"/>
    </xf>
    <xf borderId="11" fillId="11" fontId="46" numFmtId="0" xfId="0" applyAlignment="1" applyBorder="1" applyFont="1">
      <alignment horizontal="left" readingOrder="0" shrinkToFit="0" vertical="top" wrapText="0"/>
    </xf>
    <xf borderId="11" fillId="0" fontId="47" numFmtId="0" xfId="0" applyAlignment="1" applyBorder="1" applyFont="1">
      <alignment readingOrder="0" shrinkToFit="0" vertical="top" wrapText="1"/>
    </xf>
    <xf borderId="11" fillId="0" fontId="48" numFmtId="0" xfId="0" applyAlignment="1" applyBorder="1" applyFont="1">
      <alignment readingOrder="0" shrinkToFit="0" vertical="top" wrapText="1"/>
    </xf>
    <xf borderId="11" fillId="11" fontId="49" numFmtId="0" xfId="0" applyAlignment="1" applyBorder="1" applyFont="1">
      <alignment horizontal="left" readingOrder="0" shrinkToFit="0" vertical="top" wrapText="1"/>
    </xf>
    <xf borderId="11" fillId="0" fontId="50" numFmtId="0" xfId="0" applyAlignment="1" applyBorder="1" applyFont="1">
      <alignment readingOrder="0" shrinkToFit="0" vertical="top" wrapText="1"/>
    </xf>
    <xf borderId="0" fillId="11" fontId="51" numFmtId="0" xfId="0" applyAlignment="1" applyFont="1">
      <alignment horizontal="left" readingOrder="0" shrinkToFit="0" vertical="top" wrapText="1"/>
    </xf>
    <xf borderId="0" fillId="11" fontId="52" numFmtId="0" xfId="0" applyAlignment="1" applyFont="1">
      <alignment horizontal="left" readingOrder="0" shrinkToFit="0" vertical="top" wrapText="1"/>
    </xf>
    <xf borderId="0" fillId="0" fontId="53" numFmtId="0" xfId="0" applyAlignment="1" applyFont="1">
      <alignment horizontal="left" readingOrder="0" shrinkToFit="0" vertical="top" wrapText="1"/>
    </xf>
    <xf borderId="0" fillId="0" fontId="54" numFmtId="0" xfId="0" applyAlignment="1" applyFont="1">
      <alignment horizontal="left" readingOrder="0" shrinkToFit="0" vertical="top" wrapText="1"/>
    </xf>
    <xf borderId="11" fillId="0" fontId="55" numFmtId="0" xfId="0" applyAlignment="1" applyBorder="1" applyFont="1">
      <alignment readingOrder="0" shrinkToFit="0" vertical="top" wrapText="1"/>
    </xf>
    <xf borderId="11" fillId="0" fontId="56" numFmtId="0" xfId="0" applyAlignment="1" applyBorder="1" applyFont="1">
      <alignment readingOrder="0" shrinkToFit="0" vertical="top" wrapText="1"/>
    </xf>
    <xf borderId="23" fillId="0" fontId="57" numFmtId="0" xfId="0" applyAlignment="1" applyBorder="1" applyFont="1">
      <alignment readingOrder="0" shrinkToFit="0" vertical="top" wrapText="1"/>
    </xf>
    <xf borderId="0" fillId="8" fontId="58" numFmtId="9" xfId="0" applyAlignment="1" applyFont="1" applyNumberFormat="1">
      <alignment horizontal="right" shrinkToFit="0" vertical="bottom" wrapText="1"/>
    </xf>
    <xf borderId="0" fillId="11" fontId="19" numFmtId="0" xfId="0" applyAlignment="1" applyFont="1">
      <alignment horizontal="right" readingOrder="0" vertical="bottom"/>
    </xf>
    <xf borderId="0" fillId="11" fontId="19" numFmtId="0" xfId="0" applyAlignment="1" applyFont="1">
      <alignment readingOrder="0" vertical="bottom"/>
    </xf>
    <xf borderId="8" fillId="11" fontId="19" numFmtId="0" xfId="0" applyAlignment="1" applyBorder="1" applyFont="1">
      <alignment readingOrder="0" vertical="bottom"/>
    </xf>
    <xf borderId="0" fillId="11" fontId="19" numFmtId="0" xfId="0" applyAlignment="1" applyFont="1">
      <alignment vertical="bottom"/>
    </xf>
    <xf borderId="0" fillId="13" fontId="21" numFmtId="0" xfId="0" applyAlignment="1" applyFill="1" applyFont="1">
      <alignment horizontal="right" vertical="bottom"/>
    </xf>
    <xf borderId="0" fillId="13" fontId="19" numFmtId="0" xfId="0" applyAlignment="1" applyFont="1">
      <alignment readingOrder="0" shrinkToFit="0" vertical="bottom" wrapText="1"/>
    </xf>
    <xf borderId="0" fillId="13" fontId="4" numFmtId="0" xfId="0" applyFont="1"/>
    <xf borderId="0" fillId="13" fontId="19" numFmtId="0" xfId="0" applyAlignment="1" applyFont="1">
      <alignment vertical="bottom"/>
    </xf>
    <xf borderId="0" fillId="13" fontId="19" numFmtId="0" xfId="0" applyAlignment="1" applyFont="1">
      <alignment readingOrder="0" vertical="bottom"/>
    </xf>
    <xf borderId="8" fillId="13" fontId="19" numFmtId="0" xfId="0" applyAlignment="1" applyBorder="1" applyFont="1">
      <alignment readingOrder="0" vertical="bottom"/>
    </xf>
    <xf borderId="0" fillId="10" fontId="21" numFmtId="0" xfId="0" applyAlignment="1" applyFont="1">
      <alignment horizontal="right" vertical="bottom"/>
    </xf>
    <xf borderId="0" fillId="10" fontId="21" numFmtId="0" xfId="0" applyAlignment="1" applyFont="1">
      <alignment vertical="bottom"/>
    </xf>
    <xf borderId="0" fillId="2" fontId="30" numFmtId="0" xfId="0" applyAlignment="1" applyFont="1">
      <alignment vertical="bottom"/>
    </xf>
    <xf borderId="0" fillId="2" fontId="19" numFmtId="0" xfId="0" applyAlignment="1" applyFont="1">
      <alignment readingOrder="0" vertical="bottom"/>
    </xf>
    <xf borderId="8" fillId="2" fontId="19" numFmtId="0" xfId="0" applyAlignment="1" applyBorder="1" applyFont="1">
      <alignment readingOrder="0" vertical="bottom"/>
    </xf>
    <xf borderId="0" fillId="2" fontId="19" numFmtId="0" xfId="0" applyAlignment="1" applyFont="1">
      <alignment vertical="bottom"/>
    </xf>
    <xf borderId="0" fillId="11" fontId="30" numFmtId="0" xfId="0" applyAlignment="1" applyFont="1">
      <alignment horizontal="right" vertical="bottom"/>
    </xf>
    <xf borderId="0" fillId="11" fontId="59" numFmtId="0" xfId="0" applyAlignment="1" applyFont="1">
      <alignment readingOrder="0" shrinkToFit="0" wrapText="0"/>
    </xf>
    <xf borderId="0" fillId="0" fontId="60" numFmtId="0" xfId="0" applyAlignment="1" applyFont="1">
      <alignment readingOrder="0" vertical="bottom"/>
    </xf>
    <xf borderId="0" fillId="11" fontId="61" numFmtId="0" xfId="0" applyAlignment="1" applyFont="1">
      <alignment horizontal="left" readingOrder="0"/>
    </xf>
    <xf borderId="0" fillId="0" fontId="62" numFmtId="0" xfId="0" applyAlignment="1" applyFont="1">
      <alignment readingOrder="0"/>
    </xf>
    <xf borderId="0" fillId="0" fontId="63" numFmtId="0" xfId="0" applyAlignment="1" applyFont="1">
      <alignment horizontal="left" readingOrder="0"/>
    </xf>
    <xf borderId="0" fillId="0" fontId="64" numFmtId="0" xfId="0" applyAlignment="1" applyFont="1">
      <alignment horizontal="left" readingOrder="0" shrinkToFit="0" vertical="bottom" wrapText="1"/>
    </xf>
    <xf borderId="0" fillId="11" fontId="65" numFmtId="0" xfId="0" applyAlignment="1" applyFont="1">
      <alignment readingOrder="0" shrinkToFit="0" wrapText="0"/>
    </xf>
    <xf borderId="0" fillId="0" fontId="66" numFmtId="0" xfId="0" applyAlignment="1" applyFont="1">
      <alignment readingOrder="0"/>
    </xf>
    <xf borderId="0" fillId="11" fontId="67" numFmtId="0" xfId="0" applyAlignment="1" applyFont="1">
      <alignment readingOrder="0"/>
    </xf>
    <xf borderId="0" fillId="11" fontId="68" numFmtId="0" xfId="0" applyAlignment="1" applyFont="1">
      <alignment readingOrder="0"/>
    </xf>
    <xf borderId="0" fillId="11" fontId="69" numFmtId="0" xfId="0" applyAlignment="1" applyFont="1">
      <alignment readingOrder="0"/>
    </xf>
    <xf borderId="0" fillId="0" fontId="70" numFmtId="0" xfId="0" applyAlignment="1" applyFont="1">
      <alignment readingOrder="0"/>
    </xf>
    <xf borderId="0" fillId="11" fontId="71" numFmtId="0" xfId="0" applyAlignment="1" applyFont="1">
      <alignment readingOrder="0"/>
    </xf>
    <xf borderId="0" fillId="0" fontId="72" numFmtId="0" xfId="0" applyAlignment="1" applyFont="1">
      <alignment readingOrder="0" shrinkToFit="0" vertical="bottom" wrapText="1"/>
    </xf>
    <xf borderId="0" fillId="0" fontId="73" numFmtId="0" xfId="0" applyAlignment="1" applyFont="1">
      <alignment readingOrder="0"/>
    </xf>
    <xf borderId="0" fillId="11" fontId="74" numFmtId="0" xfId="0" applyAlignment="1" applyFont="1">
      <alignment readingOrder="0"/>
    </xf>
    <xf borderId="0" fillId="0" fontId="75" numFmtId="0" xfId="0" applyAlignment="1" applyFont="1">
      <alignment horizontal="left" readingOrder="0"/>
    </xf>
    <xf borderId="0" fillId="11" fontId="76" numFmtId="0" xfId="0" applyAlignment="1" applyFont="1">
      <alignment readingOrder="0"/>
    </xf>
    <xf borderId="0" fillId="10" fontId="21" numFmtId="0" xfId="0" applyAlignment="1" applyFont="1">
      <alignment horizontal="right" vertical="bottom"/>
    </xf>
    <xf borderId="0" fillId="2" fontId="19" numFmtId="0" xfId="0" applyAlignment="1" applyFont="1">
      <alignment readingOrder="0" shrinkToFit="0" vertical="bottom" wrapText="1"/>
    </xf>
    <xf borderId="0" fillId="11" fontId="19" numFmtId="0" xfId="0" applyAlignment="1" applyFont="1">
      <alignment vertical="bottom"/>
    </xf>
    <xf borderId="0" fillId="3" fontId="21" numFmtId="0" xfId="0" applyAlignment="1" applyFont="1">
      <alignment horizontal="right" vertical="bottom"/>
    </xf>
    <xf borderId="0" fillId="3" fontId="19" numFmtId="0" xfId="0" applyAlignment="1" applyFont="1">
      <alignment readingOrder="0" shrinkToFit="0" vertical="bottom" wrapText="1"/>
    </xf>
    <xf borderId="0" fillId="3" fontId="19" numFmtId="0" xfId="0" applyAlignment="1" applyFont="1">
      <alignment readingOrder="0" vertical="bottom"/>
    </xf>
    <xf borderId="8" fillId="3" fontId="19" numFmtId="0" xfId="0" applyAlignment="1" applyBorder="1" applyFont="1">
      <alignment readingOrder="0" vertical="bottom"/>
    </xf>
    <xf borderId="0" fillId="3" fontId="19" numFmtId="0" xfId="0" applyAlignment="1" applyFont="1">
      <alignment vertical="bottom"/>
    </xf>
    <xf borderId="0" fillId="10" fontId="21" numFmtId="0" xfId="0" applyAlignment="1" applyFont="1">
      <alignment readingOrder="0" shrinkToFit="0" vertical="bottom" wrapText="1"/>
    </xf>
    <xf borderId="0" fillId="10" fontId="21" numFmtId="0" xfId="0" applyAlignment="1" applyFont="1">
      <alignment readingOrder="0" vertical="bottom"/>
    </xf>
    <xf borderId="0" fillId="8" fontId="30" numFmtId="0" xfId="0" applyAlignment="1" applyFont="1">
      <alignment vertical="bottom"/>
    </xf>
    <xf borderId="0" fillId="8" fontId="19" numFmtId="0" xfId="0" applyAlignment="1" applyFont="1">
      <alignment readingOrder="0" shrinkToFit="0" vertical="bottom" wrapText="1"/>
    </xf>
    <xf borderId="0" fillId="8" fontId="19" numFmtId="0" xfId="0" applyAlignment="1" applyFont="1">
      <alignment readingOrder="0" vertical="bottom"/>
    </xf>
    <xf borderId="0" fillId="8" fontId="4" numFmtId="0" xfId="0" applyAlignment="1" applyFont="1">
      <alignment readingOrder="0"/>
    </xf>
    <xf borderId="0" fillId="8" fontId="19" numFmtId="0" xfId="0" applyAlignment="1" applyFont="1">
      <alignment vertical="bottom"/>
    </xf>
    <xf borderId="0" fillId="0" fontId="77" numFmtId="0" xfId="0" applyAlignment="1" applyFont="1">
      <alignment readingOrder="0"/>
    </xf>
    <xf borderId="0" fillId="0" fontId="78" numFmtId="0" xfId="0" applyAlignment="1" applyFont="1">
      <alignment readingOrder="0"/>
    </xf>
    <xf borderId="8" fillId="8" fontId="19" numFmtId="0" xfId="0" applyAlignment="1" applyBorder="1" applyFont="1">
      <alignment readingOrder="0" vertical="bottom"/>
    </xf>
    <xf borderId="0" fillId="11" fontId="30" numFmtId="0" xfId="0" applyAlignment="1" applyFont="1">
      <alignment horizontal="right" vertical="bottom"/>
    </xf>
    <xf borderId="0" fillId="8" fontId="30" numFmtId="0" xfId="0" applyAlignment="1" applyFont="1">
      <alignment vertical="bottom"/>
    </xf>
    <xf borderId="0" fillId="8" fontId="4" numFmtId="0" xfId="0" applyAlignment="1" applyFont="1">
      <alignment readingOrder="0" shrinkToFit="0" wrapText="1"/>
    </xf>
    <xf borderId="8" fillId="8" fontId="4" numFmtId="0" xfId="0" applyAlignment="1" applyBorder="1" applyFont="1">
      <alignment readingOrder="0"/>
    </xf>
    <xf borderId="0" fillId="8" fontId="4" numFmtId="0" xfId="0" applyFont="1"/>
    <xf borderId="0" fillId="11" fontId="79" numFmtId="0" xfId="0" applyAlignment="1" applyFont="1">
      <alignment readingOrder="0"/>
    </xf>
    <xf borderId="0" fillId="8" fontId="19" numFmtId="0" xfId="0" applyAlignment="1" applyFont="1">
      <alignment readingOrder="0" vertical="bottom"/>
    </xf>
    <xf borderId="0" fillId="8" fontId="4" numFmtId="0" xfId="0" applyAlignment="1" applyFont="1">
      <alignment shrinkToFit="0" wrapText="1"/>
    </xf>
    <xf borderId="0" fillId="8" fontId="4" numFmtId="0" xfId="0" applyAlignment="1" applyFont="1">
      <alignment readingOrder="0"/>
    </xf>
    <xf borderId="0" fillId="8" fontId="80" numFmtId="0" xfId="0" applyAlignment="1" applyFont="1">
      <alignment readingOrder="0"/>
    </xf>
    <xf borderId="0" fillId="8" fontId="81" numFmtId="0" xfId="0" applyAlignment="1" applyFont="1">
      <alignment readingOrder="0"/>
    </xf>
    <xf borderId="0" fillId="8" fontId="82" numFmtId="0" xfId="0" applyAlignment="1" applyFont="1">
      <alignment readingOrder="0"/>
    </xf>
    <xf borderId="0" fillId="8" fontId="62" numFmtId="0" xfId="0" applyAlignment="1" applyFont="1">
      <alignment readingOrder="0"/>
    </xf>
    <xf borderId="0" fillId="0" fontId="4" numFmtId="0" xfId="0" applyAlignment="1" applyFont="1">
      <alignment readingOrder="0"/>
    </xf>
    <xf borderId="0" fillId="11" fontId="81" numFmtId="0" xfId="0" applyAlignment="1" applyFont="1">
      <alignment readingOrder="0"/>
    </xf>
    <xf borderId="0" fillId="10" fontId="8" numFmtId="0" xfId="0" applyAlignment="1" applyFont="1">
      <alignment shrinkToFit="0" wrapText="1"/>
    </xf>
    <xf borderId="0" fillId="10" fontId="8" numFmtId="0" xfId="0" applyFont="1"/>
    <xf borderId="0" fillId="0" fontId="19" numFmtId="0" xfId="0" applyAlignment="1" applyFont="1">
      <alignment readingOrder="0" vertical="bottom"/>
    </xf>
    <xf borderId="0" fillId="14" fontId="21" numFmtId="0" xfId="0" applyAlignment="1" applyFill="1" applyFont="1">
      <alignment horizontal="right" vertical="bottom"/>
    </xf>
    <xf borderId="0" fillId="14" fontId="4" numFmtId="0" xfId="0" applyAlignment="1" applyFont="1">
      <alignment shrinkToFit="0" wrapText="1"/>
    </xf>
    <xf borderId="0" fillId="14" fontId="4" numFmtId="0" xfId="0" applyFont="1"/>
    <xf borderId="8" fillId="14" fontId="4" numFmtId="0" xfId="0" applyBorder="1" applyFont="1"/>
    <xf borderId="0" fillId="10" fontId="83" numFmtId="0" xfId="0" applyFont="1"/>
    <xf borderId="8" fillId="10" fontId="4" numFmtId="0" xfId="0" applyBorder="1" applyFont="1"/>
    <xf borderId="0" fillId="10" fontId="4" numFmtId="0" xfId="0" applyFont="1"/>
    <xf borderId="0" fillId="15" fontId="30" numFmtId="0" xfId="0" applyAlignment="1" applyFill="1" applyFont="1">
      <alignment vertical="bottom"/>
    </xf>
    <xf borderId="0" fillId="15" fontId="4" numFmtId="0" xfId="0" applyAlignment="1" applyFont="1">
      <alignment readingOrder="0"/>
    </xf>
    <xf borderId="8" fillId="15" fontId="4" numFmtId="0" xfId="0" applyBorder="1" applyFont="1"/>
    <xf borderId="0" fillId="15" fontId="4" numFmtId="0" xfId="0" applyFont="1"/>
    <xf borderId="0" fillId="15" fontId="4" numFmtId="0" xfId="0" applyAlignment="1" applyFont="1">
      <alignment readingOrder="0" shrinkToFit="0" wrapText="1"/>
    </xf>
    <xf borderId="0" fillId="2" fontId="8" numFmtId="0" xfId="0" applyAlignment="1" applyFont="1">
      <alignment horizontal="right" readingOrder="0"/>
    </xf>
    <xf borderId="0" fillId="16" fontId="84" numFmtId="0" xfId="0" applyAlignment="1" applyFill="1" applyFont="1">
      <alignment readingOrder="0" shrinkToFit="0" wrapText="1"/>
    </xf>
    <xf borderId="11" fillId="17" fontId="19" numFmtId="0" xfId="0" applyAlignment="1" applyBorder="1" applyFill="1" applyFont="1">
      <alignment horizontal="center" readingOrder="0" shrinkToFit="0" vertical="top" wrapText="1"/>
    </xf>
    <xf borderId="11" fillId="18" fontId="19" numFmtId="0" xfId="0" applyAlignment="1" applyBorder="1" applyFill="1" applyFont="1">
      <alignment horizontal="center" readingOrder="0" shrinkToFit="0" vertical="top" wrapText="1"/>
    </xf>
    <xf borderId="11" fillId="18" fontId="19" numFmtId="0" xfId="0" applyAlignment="1" applyBorder="1" applyFont="1">
      <alignment readingOrder="0" shrinkToFit="0" vertical="top" wrapText="1"/>
    </xf>
    <xf borderId="11" fillId="17" fontId="19" numFmtId="0" xfId="0" applyAlignment="1" applyBorder="1" applyFont="1">
      <alignment readingOrder="0" shrinkToFit="0" vertical="top" wrapText="1"/>
    </xf>
    <xf borderId="23" fillId="18" fontId="19" numFmtId="0" xfId="0" applyAlignment="1" applyBorder="1" applyFont="1">
      <alignment readingOrder="0" shrinkToFit="0" vertical="top" wrapText="1"/>
    </xf>
    <xf borderId="0" fillId="2" fontId="30" numFmtId="0" xfId="0" applyAlignment="1" applyFont="1">
      <alignment horizontal="right" vertical="bottom"/>
    </xf>
    <xf borderId="0" fillId="0" fontId="85" numFmtId="0" xfId="0" applyFont="1"/>
    <xf borderId="0" fillId="11" fontId="19" numFmtId="10" xfId="0" applyAlignment="1" applyFont="1" applyNumberFormat="1">
      <alignment readingOrder="0" shrinkToFit="0" vertical="bottom" wrapText="1"/>
    </xf>
    <xf borderId="0" fillId="0" fontId="19" numFmtId="10" xfId="0" applyAlignment="1" applyFont="1" applyNumberFormat="1">
      <alignment readingOrder="0" vertical="bottom"/>
    </xf>
    <xf borderId="0" fillId="9" fontId="4" numFmtId="0" xfId="0" applyFont="1"/>
    <xf borderId="0" fillId="19" fontId="8" numFmtId="0" xfId="0" applyAlignment="1" applyFill="1" applyFont="1">
      <alignment horizontal="right" readingOrder="0"/>
    </xf>
    <xf borderId="0" fillId="18" fontId="8" numFmtId="0" xfId="0" applyAlignment="1" applyFont="1">
      <alignment horizontal="right" readingOrder="0"/>
    </xf>
    <xf borderId="0" fillId="7" fontId="18" numFmtId="9" xfId="0" applyAlignment="1" applyFont="1" applyNumberFormat="1">
      <alignment horizontal="right" readingOrder="0" shrinkToFit="0" vertical="bottom" wrapText="1"/>
    </xf>
    <xf borderId="0" fillId="9" fontId="21" numFmtId="0" xfId="0" applyAlignment="1" applyFont="1">
      <alignment horizontal="right" vertical="bottom"/>
    </xf>
    <xf borderId="0" fillId="0" fontId="4" numFmtId="10" xfId="0" applyFont="1" applyNumberFormat="1"/>
    <xf borderId="0" fillId="10" fontId="30" numFmtId="0" xfId="0" applyAlignment="1" applyFont="1">
      <alignment vertical="bottom"/>
    </xf>
    <xf borderId="0" fillId="9" fontId="4" numFmtId="0" xfId="0" applyAlignment="1" applyFont="1">
      <alignment shrinkToFit="0" wrapText="1"/>
    </xf>
    <xf borderId="8" fillId="9" fontId="4" numFmtId="0" xfId="0" applyBorder="1" applyFont="1"/>
    <xf borderId="0" fillId="10" fontId="30" numFmtId="0" xfId="0" applyAlignment="1" applyFont="1">
      <alignment horizontal="right" vertical="bottom"/>
    </xf>
    <xf borderId="0" fillId="0" fontId="4" numFmtId="0" xfId="0" applyAlignment="1" applyFont="1">
      <alignment readingOrder="0" shrinkToFit="0" wrapText="1"/>
    </xf>
    <xf borderId="8" fillId="0" fontId="4" numFmtId="0" xfId="0" applyAlignment="1" applyBorder="1" applyFont="1">
      <alignment readingOrder="0"/>
    </xf>
    <xf borderId="0" fillId="0" fontId="4" numFmtId="10" xfId="0" applyAlignment="1" applyFont="1" applyNumberFormat="1">
      <alignment shrinkToFit="0" wrapText="1"/>
    </xf>
    <xf borderId="0" fillId="9" fontId="4" numFmtId="0" xfId="0" applyAlignment="1" applyFont="1">
      <alignment readingOrder="0"/>
    </xf>
    <xf borderId="0" fillId="20" fontId="8" numFmtId="0" xfId="0" applyAlignment="1" applyFill="1" applyFont="1">
      <alignment horizontal="right" readingOrder="0"/>
    </xf>
    <xf borderId="0" fillId="17" fontId="8" numFmtId="0" xfId="0" applyAlignment="1" applyFont="1">
      <alignment horizontal="right" readingOrder="0"/>
    </xf>
    <xf borderId="0" fillId="21" fontId="8" numFmtId="0" xfId="0" applyAlignment="1" applyFill="1" applyFont="1">
      <alignment horizontal="right" readingOrder="0"/>
    </xf>
    <xf borderId="0" fillId="9" fontId="19" numFmtId="0" xfId="0" applyAlignment="1" applyFont="1">
      <alignment horizontal="right" readingOrder="0" shrinkToFit="0" vertical="bottom" wrapText="1"/>
    </xf>
    <xf borderId="0" fillId="10" fontId="86" numFmtId="0" xfId="0" applyAlignment="1" applyFont="1">
      <alignment horizontal="left" readingOrder="0"/>
    </xf>
    <xf borderId="22" fillId="2" fontId="5" numFmtId="0" xfId="0" applyAlignment="1" applyBorder="1" applyFont="1">
      <alignment horizontal="center" readingOrder="0" shrinkToFit="0" wrapText="1"/>
    </xf>
    <xf borderId="0" fillId="2" fontId="87" numFmtId="0" xfId="0" applyAlignment="1" applyFont="1">
      <alignment horizontal="center" readingOrder="0" shrinkToFit="0" wrapText="1"/>
    </xf>
    <xf borderId="22" fillId="2" fontId="88" numFmtId="0" xfId="0" applyAlignment="1" applyBorder="1" applyFont="1">
      <alignment horizontal="center" readingOrder="0" shrinkToFit="0" wrapText="1"/>
    </xf>
    <xf borderId="30" fillId="0" fontId="9" numFmtId="0" xfId="0" applyAlignment="1" applyBorder="1" applyFont="1">
      <alignment horizontal="right" readingOrder="0" shrinkToFit="0" wrapText="1"/>
    </xf>
    <xf borderId="22" fillId="0" fontId="9" numFmtId="0" xfId="0" applyAlignment="1" applyBorder="1" applyFont="1">
      <alignment horizontal="right" readingOrder="0" shrinkToFit="0" wrapText="1"/>
    </xf>
    <xf borderId="31" fillId="0" fontId="9" numFmtId="9" xfId="0" applyAlignment="1" applyBorder="1" applyFont="1" applyNumberFormat="1">
      <alignment horizontal="right" readingOrder="0" shrinkToFit="0" wrapText="1"/>
    </xf>
    <xf borderId="0" fillId="0" fontId="9" numFmtId="9" xfId="0" applyAlignment="1" applyFont="1" applyNumberFormat="1">
      <alignment horizontal="right" readingOrder="0" shrinkToFit="0" wrapText="1"/>
    </xf>
    <xf borderId="22" fillId="0" fontId="9" numFmtId="0" xfId="0" applyAlignment="1" applyBorder="1" applyFont="1">
      <alignment horizontal="right" readingOrder="0"/>
    </xf>
    <xf borderId="22" fillId="0" fontId="10" numFmtId="0" xfId="0" applyAlignment="1" applyBorder="1" applyFont="1">
      <alignment horizontal="right" readingOrder="0"/>
    </xf>
    <xf borderId="32" fillId="0" fontId="10" numFmtId="0" xfId="0" applyAlignment="1" applyBorder="1" applyFont="1">
      <alignment horizontal="right" readingOrder="0" shrinkToFit="0" wrapText="1"/>
    </xf>
    <xf borderId="33" fillId="0" fontId="10" numFmtId="0" xfId="0" applyAlignment="1" applyBorder="1" applyFont="1">
      <alignment horizontal="right" readingOrder="0" shrinkToFit="0" wrapText="1"/>
    </xf>
    <xf borderId="27" fillId="0" fontId="10" numFmtId="0" xfId="0" applyAlignment="1" applyBorder="1" applyFont="1">
      <alignment horizontal="right" readingOrder="0" shrinkToFit="0" wrapText="1"/>
    </xf>
    <xf borderId="34" fillId="0" fontId="10" numFmtId="0" xfId="0" applyAlignment="1" applyBorder="1" applyFont="1">
      <alignment horizontal="right" readingOrder="0" shrinkToFit="0" wrapText="1"/>
    </xf>
    <xf borderId="11" fillId="0" fontId="11" numFmtId="0" xfId="0" applyAlignment="1" applyBorder="1" applyFont="1">
      <alignment horizontal="right" readingOrder="0" shrinkToFit="0" wrapText="1"/>
    </xf>
    <xf borderId="11" fillId="0" fontId="9" numFmtId="0" xfId="0" applyAlignment="1" applyBorder="1" applyFont="1">
      <alignment horizontal="right" readingOrder="0" shrinkToFit="0" wrapText="1"/>
    </xf>
    <xf borderId="22" fillId="0" fontId="13" numFmtId="0" xfId="0" applyAlignment="1" applyBorder="1" applyFont="1">
      <alignment horizontal="right" readingOrder="0" shrinkToFit="0" wrapText="1"/>
    </xf>
    <xf borderId="22" fillId="0" fontId="15" numFmtId="0" xfId="0" applyAlignment="1" applyBorder="1" applyFont="1">
      <alignment horizontal="right" readingOrder="0" shrinkToFit="0" wrapText="1"/>
    </xf>
    <xf borderId="22" fillId="0" fontId="16" numFmtId="0" xfId="0" applyAlignment="1" applyBorder="1" applyFont="1">
      <alignment horizontal="right" readingOrder="0" shrinkToFit="0" wrapText="1"/>
    </xf>
    <xf borderId="0" fillId="0" fontId="19" numFmtId="0" xfId="0" applyAlignment="1" applyFont="1">
      <alignment horizontal="left" readingOrder="0" shrinkToFit="0" vertical="top" wrapText="1"/>
    </xf>
    <xf borderId="11" fillId="0" fontId="19" numFmtId="0" xfId="0" applyAlignment="1" applyBorder="1" applyFont="1">
      <alignment horizontal="left" readingOrder="0" shrinkToFit="0" vertical="top" wrapText="1"/>
    </xf>
    <xf borderId="30" fillId="0" fontId="19" numFmtId="0" xfId="0" applyAlignment="1" applyBorder="1" applyFont="1">
      <alignment horizontal="left" readingOrder="0" shrinkToFit="0" vertical="top" wrapText="1"/>
    </xf>
    <xf borderId="0" fillId="0" fontId="19" numFmtId="0" xfId="0" applyAlignment="1" applyFont="1">
      <alignment horizontal="left" readingOrder="0" shrinkToFit="0" vertical="top" wrapText="1"/>
    </xf>
    <xf borderId="22" fillId="3" fontId="20" numFmtId="9" xfId="0" applyAlignment="1" applyBorder="1" applyFont="1" applyNumberFormat="1">
      <alignment horizontal="right" readingOrder="0" shrinkToFit="0" wrapText="1"/>
    </xf>
    <xf borderId="22" fillId="4" fontId="20" numFmtId="9" xfId="0" applyAlignment="1" applyBorder="1" applyFont="1" applyNumberFormat="1">
      <alignment horizontal="right" shrinkToFit="0" wrapText="1"/>
    </xf>
    <xf borderId="22" fillId="5" fontId="20" numFmtId="9" xfId="0" applyAlignment="1" applyBorder="1" applyFont="1" applyNumberFormat="1">
      <alignment horizontal="right" shrinkToFit="0" wrapText="1"/>
    </xf>
    <xf borderId="22" fillId="6" fontId="18" numFmtId="9" xfId="0" applyAlignment="1" applyBorder="1" applyFont="1" applyNumberFormat="1">
      <alignment horizontal="right" shrinkToFit="0" vertical="bottom" wrapText="1"/>
    </xf>
    <xf borderId="22" fillId="7" fontId="18" numFmtId="9" xfId="0" applyAlignment="1" applyBorder="1" applyFont="1" applyNumberFormat="1">
      <alignment horizontal="right" shrinkToFit="0" vertical="bottom" wrapText="1"/>
    </xf>
    <xf borderId="22" fillId="8" fontId="19" numFmtId="9" xfId="0" applyAlignment="1" applyBorder="1" applyFont="1" applyNumberFormat="1">
      <alignment horizontal="center" vertical="bottom"/>
    </xf>
    <xf borderId="22" fillId="3" fontId="34" numFmtId="9" xfId="0" applyAlignment="1" applyBorder="1" applyFont="1" applyNumberFormat="1">
      <alignment horizontal="right" readingOrder="0" shrinkToFit="0" vertical="bottom" wrapText="1"/>
    </xf>
    <xf borderId="22" fillId="8" fontId="34" numFmtId="9" xfId="0" applyAlignment="1" applyBorder="1" applyFont="1" applyNumberFormat="1">
      <alignment horizontal="right" shrinkToFit="0" vertical="bottom" wrapText="1"/>
    </xf>
    <xf borderId="22" fillId="9" fontId="19" numFmtId="0" xfId="0" applyAlignment="1" applyBorder="1" applyFont="1">
      <alignment readingOrder="0" shrinkToFit="0" vertical="bottom" wrapText="1"/>
    </xf>
    <xf borderId="0" fillId="0" fontId="4" numFmtId="0" xfId="0" applyFont="1"/>
    <xf borderId="0" fillId="11" fontId="19" numFmtId="0" xfId="0" applyAlignment="1" applyFont="1">
      <alignment horizontal="right" vertical="bottom"/>
    </xf>
    <xf borderId="22" fillId="0" fontId="19" numFmtId="0" xfId="0" applyAlignment="1" applyBorder="1" applyFont="1">
      <alignment vertical="bottom"/>
    </xf>
    <xf borderId="35" fillId="11" fontId="19" numFmtId="0" xfId="0" applyAlignment="1" applyBorder="1" applyFont="1">
      <alignment horizontal="right" vertical="bottom"/>
    </xf>
    <xf borderId="0" fillId="0" fontId="4" numFmtId="0" xfId="0" applyFont="1"/>
    <xf borderId="22" fillId="0" fontId="4" numFmtId="0" xfId="0" applyBorder="1" applyFont="1"/>
    <xf borderId="0" fillId="0" fontId="8" numFmtId="0" xfId="0" applyAlignment="1" applyFont="1">
      <alignment readingOrder="0"/>
    </xf>
    <xf borderId="0" fillId="0" fontId="4" numFmtId="0" xfId="0" applyAlignment="1" applyFont="1">
      <alignment horizontal="center" shrinkToFit="0" wrapText="1"/>
    </xf>
    <xf borderId="22" fillId="0" fontId="6" numFmtId="0" xfId="0" applyBorder="1" applyFont="1"/>
    <xf borderId="22" fillId="0" fontId="4" numFmtId="0" xfId="0" applyAlignment="1" applyBorder="1" applyFont="1">
      <alignment shrinkToFit="0" wrapText="1"/>
    </xf>
    <xf borderId="0" fillId="0" fontId="89" numFmtId="0" xfId="0" applyAlignment="1" applyFont="1">
      <alignment shrinkToFit="0" wrapText="1"/>
    </xf>
    <xf borderId="22" fillId="0" fontId="90" numFmtId="0" xfId="0" applyAlignment="1" applyBorder="1" applyFont="1">
      <alignment shrinkToFit="0" wrapText="1"/>
    </xf>
    <xf borderId="0" fillId="0" fontId="4" numFmtId="9" xfId="0" applyAlignment="1" applyFont="1" applyNumberFormat="1">
      <alignment shrinkToFit="0" wrapText="1"/>
    </xf>
    <xf borderId="22" fillId="0" fontId="4" numFmtId="9" xfId="0" applyAlignment="1" applyBorder="1" applyFont="1" applyNumberFormat="1">
      <alignment shrinkToFit="0" wrapText="1"/>
    </xf>
    <xf borderId="3" fillId="2" fontId="5" numFmtId="0" xfId="0" applyAlignment="1" applyBorder="1" applyFont="1">
      <alignment horizontal="center" readingOrder="0"/>
    </xf>
    <xf borderId="36" fillId="2" fontId="8" numFmtId="0" xfId="0" applyAlignment="1" applyBorder="1" applyFont="1">
      <alignment horizontal="center" readingOrder="0"/>
    </xf>
    <xf borderId="3" fillId="2" fontId="8" numFmtId="0" xfId="0" applyAlignment="1" applyBorder="1" applyFont="1">
      <alignment horizontal="center" readingOrder="0"/>
    </xf>
    <xf borderId="0" fillId="2" fontId="8" numFmtId="0" xfId="0" applyAlignment="1" applyFont="1">
      <alignment horizontal="center" readingOrder="0"/>
    </xf>
    <xf borderId="0" fillId="2" fontId="7" numFmtId="0" xfId="0" applyAlignment="1" applyFont="1">
      <alignment horizontal="center" readingOrder="0" shrinkToFit="0" vertical="center" wrapText="1"/>
    </xf>
    <xf borderId="0" fillId="2" fontId="91" numFmtId="0" xfId="0" applyAlignment="1" applyFont="1">
      <alignment horizontal="center" readingOrder="0" shrinkToFit="0" vertical="center" wrapText="1"/>
    </xf>
    <xf borderId="0" fillId="2" fontId="8" numFmtId="0" xfId="0" applyAlignment="1" applyFont="1">
      <alignment horizontal="center" readingOrder="0" shrinkToFit="0" vertical="center" wrapText="1"/>
    </xf>
    <xf borderId="0" fillId="2" fontId="84" numFmtId="0" xfId="0" applyAlignment="1" applyFont="1">
      <alignment horizontal="center" readingOrder="0" shrinkToFit="0" vertical="center" wrapText="1"/>
    </xf>
    <xf borderId="0" fillId="11" fontId="92" numFmtId="0" xfId="0" applyAlignment="1" applyFont="1">
      <alignment readingOrder="0" shrinkToFit="0" wrapText="0"/>
    </xf>
    <xf borderId="0" fillId="11" fontId="92" numFmtId="0" xfId="0" applyAlignment="1" applyFont="1">
      <alignment shrinkToFit="0" wrapText="0"/>
    </xf>
    <xf borderId="0" fillId="17" fontId="93" numFmtId="0" xfId="0" applyAlignment="1" applyFont="1">
      <alignment readingOrder="0" shrinkToFit="0" vertical="top" wrapText="1"/>
    </xf>
    <xf borderId="0" fillId="17" fontId="94" numFmtId="0" xfId="0" applyAlignment="1" applyFont="1">
      <alignment readingOrder="0" shrinkToFit="0" vertical="top" wrapText="1"/>
    </xf>
    <xf borderId="0" fillId="17" fontId="0" numFmtId="0" xfId="0" applyAlignment="1" applyFont="1">
      <alignment horizontal="left" readingOrder="0" shrinkToFit="0" vertical="top" wrapText="1"/>
    </xf>
    <xf borderId="0" fillId="3" fontId="34" numFmtId="0" xfId="0" applyAlignment="1" applyFont="1">
      <alignment horizontal="right" readingOrder="0" shrinkToFit="0" vertical="bottom" wrapText="1"/>
    </xf>
    <xf borderId="0" fillId="10" fontId="30" numFmtId="0" xfId="0" applyAlignment="1" applyFont="1">
      <alignment horizontal="left" readingOrder="0" vertical="bottom"/>
    </xf>
    <xf borderId="0" fillId="0" fontId="4" numFmtId="0" xfId="0" applyAlignment="1" applyFont="1">
      <alignment horizontal="right" readingOrder="0"/>
    </xf>
    <xf borderId="0" fillId="10" fontId="19" numFmtId="0" xfId="0" applyAlignment="1" applyFont="1">
      <alignment vertical="bottom"/>
    </xf>
    <xf borderId="0" fillId="10" fontId="10" numFmtId="0" xfId="0" applyAlignment="1" applyFont="1">
      <alignment horizontal="left" readingOrder="0"/>
    </xf>
    <xf borderId="0" fillId="11" fontId="19" numFmtId="0" xfId="0" applyAlignment="1" applyFont="1">
      <alignment horizontal="right" readingOrder="0" shrinkToFit="0" vertical="bottom" wrapText="1"/>
    </xf>
    <xf borderId="0" fillId="0" fontId="10" numFmtId="0" xfId="0" applyAlignment="1" applyFont="1">
      <alignment horizontal="left" readingOrder="0"/>
    </xf>
    <xf borderId="0" fillId="22" fontId="4" numFmtId="0" xfId="0" applyAlignment="1" applyFill="1" applyFont="1">
      <alignment readingOrder="0"/>
    </xf>
    <xf borderId="0" fillId="22" fontId="4" numFmtId="0" xfId="0" applyAlignment="1" applyFont="1">
      <alignment shrinkToFit="0" wrapText="1"/>
    </xf>
    <xf borderId="0" fillId="22" fontId="4" numFmtId="0" xfId="0" applyFont="1"/>
    <xf borderId="0" fillId="22" fontId="4" numFmtId="10" xfId="0" applyFont="1" applyNumberFormat="1"/>
    <xf borderId="8" fillId="22" fontId="4" numFmtId="0" xfId="0" applyBorder="1" applyFont="1"/>
    <xf borderId="0" fillId="0" fontId="4" numFmtId="9" xfId="0" applyAlignment="1" applyFont="1" applyNumberFormat="1">
      <alignment readingOrder="0" shrinkToFit="0" wrapText="1"/>
    </xf>
    <xf borderId="36" fillId="2" fontId="4" numFmtId="0" xfId="0" applyAlignment="1" applyBorder="1" applyFont="1">
      <alignment horizontal="center" readingOrder="0"/>
    </xf>
    <xf borderId="0" fillId="2" fontId="95" numFmtId="0" xfId="0" applyAlignment="1" applyFont="1">
      <alignment horizontal="center" readingOrder="0"/>
    </xf>
    <xf borderId="10" fillId="0" fontId="10" numFmtId="0" xfId="0" applyAlignment="1" applyBorder="1" applyFont="1">
      <alignment horizontal="right" readingOrder="0" vertical="bottom"/>
    </xf>
    <xf borderId="14" fillId="0" fontId="10" numFmtId="0" xfId="0" applyAlignment="1" applyBorder="1" applyFont="1">
      <alignment horizontal="right" readingOrder="0" vertical="bottom"/>
    </xf>
    <xf borderId="17" fillId="0" fontId="10" numFmtId="0" xfId="0" applyAlignment="1" applyBorder="1" applyFont="1">
      <alignment horizontal="right" readingOrder="0" shrinkToFit="0" vertical="bottom" wrapText="1"/>
    </xf>
    <xf borderId="0" fillId="0" fontId="11" numFmtId="0" xfId="0" applyAlignment="1" applyFont="1">
      <alignment horizontal="right" readingOrder="0" vertical="bottom"/>
    </xf>
    <xf borderId="0" fillId="0" fontId="13" numFmtId="0" xfId="0" applyAlignment="1" applyFont="1">
      <alignment horizontal="right" readingOrder="0" vertical="bottom"/>
    </xf>
    <xf borderId="0" fillId="11" fontId="13" numFmtId="0" xfId="0" applyAlignment="1" applyFont="1">
      <alignment horizontal="right" readingOrder="0"/>
    </xf>
    <xf borderId="0" fillId="0" fontId="15" numFmtId="0" xfId="0" applyAlignment="1" applyFont="1">
      <alignment horizontal="right" readingOrder="0" shrinkToFit="0" vertical="bottom" wrapText="1"/>
    </xf>
    <xf borderId="0" fillId="0" fontId="16" numFmtId="0" xfId="0" applyAlignment="1" applyFont="1">
      <alignment horizontal="right" readingOrder="0" vertical="bottom"/>
    </xf>
    <xf borderId="11" fillId="17" fontId="19" numFmtId="0" xfId="0" applyAlignment="1" applyBorder="1" applyFont="1">
      <alignment shrinkToFit="0" vertical="top" wrapText="1"/>
    </xf>
    <xf borderId="23" fillId="17" fontId="19" numFmtId="0" xfId="0" applyAlignment="1" applyBorder="1" applyFont="1">
      <alignment readingOrder="0" shrinkToFit="0" vertical="top" wrapText="1"/>
    </xf>
    <xf borderId="0" fillId="3" fontId="34" numFmtId="10" xfId="0" applyAlignment="1" applyFont="1" applyNumberFormat="1">
      <alignment horizontal="right" readingOrder="0" shrinkToFit="0" vertical="bottom" wrapText="1"/>
    </xf>
    <xf borderId="0" fillId="9" fontId="19" numFmtId="0" xfId="0" applyAlignment="1" applyFont="1">
      <alignment horizontal="right" vertical="bottom"/>
    </xf>
    <xf borderId="0" fillId="10" fontId="86" numFmtId="0" xfId="0" applyAlignment="1" applyFont="1">
      <alignment horizontal="right" readingOrder="0"/>
    </xf>
    <xf borderId="0" fillId="0" fontId="19" numFmtId="0" xfId="0" applyAlignment="1" applyFont="1">
      <alignment horizontal="right" readingOrder="0" vertical="bottom"/>
    </xf>
    <xf borderId="37" fillId="0" fontId="6" numFmtId="0" xfId="0" applyBorder="1" applyFont="1"/>
    <xf borderId="0" fillId="2" fontId="96" numFmtId="0" xfId="0" applyAlignment="1" applyFont="1">
      <alignment horizontal="center" readingOrder="0"/>
    </xf>
    <xf borderId="14" fillId="2" fontId="4" numFmtId="0" xfId="0" applyAlignment="1" applyBorder="1" applyFont="1">
      <alignment readingOrder="0"/>
    </xf>
    <xf borderId="0" fillId="2" fontId="97" numFmtId="0" xfId="0" applyAlignment="1" applyFont="1">
      <alignment horizontal="center" readingOrder="0" shrinkToFit="0" wrapText="1"/>
    </xf>
    <xf borderId="0" fillId="2" fontId="98" numFmtId="0" xfId="0" applyAlignment="1" applyFont="1">
      <alignment horizontal="center" readingOrder="0" shrinkToFit="0" wrapText="1"/>
    </xf>
    <xf borderId="0" fillId="2" fontId="97" numFmtId="0" xfId="0" applyAlignment="1" applyFont="1">
      <alignment horizontal="center" readingOrder="0" shrinkToFit="0" wrapText="1"/>
    </xf>
    <xf borderId="0" fillId="2" fontId="4" numFmtId="0" xfId="0" applyAlignment="1" applyFont="1">
      <alignment horizontal="center" readingOrder="0" shrinkToFit="0" wrapText="1"/>
    </xf>
    <xf borderId="0" fillId="2" fontId="4" numFmtId="0" xfId="0" applyAlignment="1" applyFont="1">
      <alignment horizontal="center" readingOrder="0" shrinkToFit="0" wrapText="1"/>
    </xf>
    <xf borderId="14" fillId="2" fontId="8" numFmtId="0" xfId="0" applyAlignment="1" applyBorder="1" applyFont="1">
      <alignment horizontal="center" readingOrder="0" shrinkToFit="0" wrapText="1"/>
    </xf>
    <xf borderId="14" fillId="0" fontId="4" numFmtId="0" xfId="0" applyBorder="1" applyFont="1"/>
    <xf borderId="0" fillId="0" fontId="8" numFmtId="0" xfId="0" applyFont="1"/>
    <xf borderId="10" fillId="0" fontId="10" numFmtId="0" xfId="0" applyAlignment="1" applyBorder="1" applyFont="1">
      <alignment horizontal="right" vertical="bottom"/>
    </xf>
    <xf borderId="14" fillId="0" fontId="10" numFmtId="0" xfId="0" applyAlignment="1" applyBorder="1" applyFont="1">
      <alignment horizontal="right" vertical="bottom"/>
    </xf>
    <xf borderId="17" fillId="11" fontId="98" numFmtId="9" xfId="0" applyAlignment="1" applyBorder="1" applyFont="1" applyNumberFormat="1">
      <alignment horizontal="right"/>
    </xf>
    <xf borderId="17" fillId="0" fontId="98" numFmtId="9" xfId="0" applyAlignment="1" applyBorder="1" applyFont="1" applyNumberFormat="1">
      <alignment horizontal="right"/>
    </xf>
    <xf borderId="17" fillId="0" fontId="9" numFmtId="0" xfId="0" applyAlignment="1" applyBorder="1" applyFont="1">
      <alignment horizontal="right" readingOrder="0" shrinkToFit="0" wrapText="1"/>
    </xf>
    <xf borderId="17" fillId="0" fontId="9" numFmtId="0" xfId="0" applyAlignment="1" applyBorder="1" applyFont="1">
      <alignment horizontal="right" readingOrder="0"/>
    </xf>
    <xf borderId="19" fillId="0" fontId="9" numFmtId="0" xfId="0" applyAlignment="1" applyBorder="1" applyFont="1">
      <alignment horizontal="right" readingOrder="0" shrinkToFit="0" wrapText="1"/>
    </xf>
    <xf borderId="33" fillId="0" fontId="9" numFmtId="0" xfId="0" applyAlignment="1" applyBorder="1" applyFont="1">
      <alignment horizontal="right" readingOrder="0"/>
    </xf>
    <xf borderId="0" fillId="0" fontId="10" numFmtId="0" xfId="0" applyAlignment="1" applyFont="1">
      <alignment horizontal="right" readingOrder="0" vertical="bottom"/>
    </xf>
    <xf borderId="14" fillId="0" fontId="99" numFmtId="0" xfId="0" applyAlignment="1" applyBorder="1" applyFont="1">
      <alignment readingOrder="0"/>
    </xf>
    <xf borderId="0" fillId="0" fontId="86" numFmtId="0" xfId="0" applyAlignment="1" applyFont="1">
      <alignment horizontal="right" readingOrder="0"/>
    </xf>
    <xf borderId="0" fillId="0" fontId="10" numFmtId="0" xfId="0" applyAlignment="1" applyFont="1">
      <alignment horizontal="right" vertical="bottom"/>
    </xf>
    <xf borderId="0" fillId="0" fontId="9" numFmtId="0" xfId="0" applyAlignment="1" applyFont="1">
      <alignment readingOrder="0"/>
    </xf>
    <xf borderId="11" fillId="0" fontId="18" numFmtId="0" xfId="0" applyAlignment="1" applyBorder="1" applyFont="1">
      <alignment horizontal="right" readingOrder="0" shrinkToFit="0" vertical="bottom" wrapText="1"/>
    </xf>
    <xf borderId="11" fillId="0" fontId="100" numFmtId="0" xfId="0" applyAlignment="1" applyBorder="1" applyFont="1">
      <alignment horizontal="center" readingOrder="0" shrinkToFit="0" vertical="center" wrapText="1"/>
    </xf>
    <xf borderId="11" fillId="0" fontId="19" numFmtId="0" xfId="0" applyAlignment="1" applyBorder="1" applyFont="1">
      <alignment horizontal="center" readingOrder="0" shrinkToFit="0" vertical="center" wrapText="1"/>
    </xf>
    <xf borderId="11" fillId="0" fontId="19" numFmtId="0" xfId="0" applyAlignment="1" applyBorder="1" applyFont="1">
      <alignment horizontal="center" readingOrder="0" shrinkToFit="0" vertical="top" wrapText="1"/>
    </xf>
    <xf borderId="10" fillId="0" fontId="19" numFmtId="0" xfId="0" applyAlignment="1" applyBorder="1" applyFont="1">
      <alignment readingOrder="0" shrinkToFit="0" vertical="top" wrapText="1"/>
    </xf>
    <xf borderId="0" fillId="23" fontId="18" numFmtId="0" xfId="0" applyAlignment="1" applyFill="1" applyFont="1">
      <alignment horizontal="right" vertical="bottom"/>
    </xf>
    <xf borderId="0" fillId="23" fontId="18" numFmtId="9" xfId="0" applyAlignment="1" applyFont="1" applyNumberFormat="1">
      <alignment horizontal="right" shrinkToFit="0" vertical="bottom" wrapText="1"/>
    </xf>
    <xf borderId="14" fillId="23" fontId="18" numFmtId="9" xfId="0" applyAlignment="1" applyBorder="1" applyFont="1" applyNumberFormat="1">
      <alignment horizontal="right" shrinkToFit="0" vertical="bottom" wrapText="1"/>
    </xf>
    <xf borderId="0" fillId="24" fontId="18" numFmtId="0" xfId="0" applyAlignment="1" applyFill="1" applyFont="1">
      <alignment horizontal="right" readingOrder="0" vertical="bottom"/>
    </xf>
    <xf borderId="0" fillId="24" fontId="18" numFmtId="9" xfId="0" applyAlignment="1" applyFont="1" applyNumberFormat="1">
      <alignment horizontal="right" shrinkToFit="0" vertical="bottom" wrapText="1"/>
    </xf>
    <xf borderId="14" fillId="24" fontId="18" numFmtId="9" xfId="0" applyAlignment="1" applyBorder="1" applyFont="1" applyNumberFormat="1">
      <alignment horizontal="right" shrinkToFit="0" vertical="bottom" wrapText="1"/>
    </xf>
    <xf borderId="0" fillId="25" fontId="18" numFmtId="0" xfId="0" applyAlignment="1" applyFill="1" applyFont="1">
      <alignment horizontal="right" vertical="bottom"/>
    </xf>
    <xf borderId="0" fillId="25" fontId="19" numFmtId="9" xfId="0" applyAlignment="1" applyFont="1" applyNumberFormat="1">
      <alignment horizontal="center" shrinkToFit="0" vertical="bottom" wrapText="1"/>
    </xf>
    <xf borderId="0" fillId="25" fontId="19" numFmtId="9" xfId="0" applyAlignment="1" applyFont="1" applyNumberFormat="1">
      <alignment horizontal="center" vertical="bottom"/>
    </xf>
    <xf borderId="14" fillId="25" fontId="19" numFmtId="9" xfId="0" applyAlignment="1" applyBorder="1" applyFont="1" applyNumberFormat="1">
      <alignment horizontal="center" vertical="bottom"/>
    </xf>
    <xf borderId="14" fillId="9" fontId="19" numFmtId="0" xfId="0" applyAlignment="1" applyBorder="1" applyFont="1">
      <alignment vertical="bottom"/>
    </xf>
    <xf borderId="0" fillId="26" fontId="101" numFmtId="0" xfId="0" applyAlignment="1" applyFill="1" applyFont="1">
      <alignment horizontal="right" readingOrder="0"/>
    </xf>
    <xf borderId="14" fillId="0" fontId="19" numFmtId="0" xfId="0" applyAlignment="1" applyBorder="1" applyFont="1">
      <alignment readingOrder="0" vertical="bottom"/>
    </xf>
    <xf borderId="0" fillId="0" fontId="30" numFmtId="0" xfId="0" applyAlignment="1" applyFont="1">
      <alignment horizontal="right" vertical="bottom"/>
    </xf>
    <xf borderId="0" fillId="9" fontId="4" numFmtId="0" xfId="0" applyAlignment="1" applyFont="1">
      <alignment horizontal="right" readingOrder="0"/>
    </xf>
    <xf borderId="0" fillId="9" fontId="101" numFmtId="0" xfId="0" applyAlignment="1" applyFont="1">
      <alignment horizontal="right" readingOrder="0"/>
    </xf>
    <xf borderId="0" fillId="9" fontId="102" numFmtId="0" xfId="0" applyAlignment="1" applyFont="1">
      <alignment horizontal="right" readingOrder="0"/>
    </xf>
    <xf borderId="0" fillId="9" fontId="101" numFmtId="0" xfId="0" applyAlignment="1" applyFont="1">
      <alignment horizontal="right" readingOrder="0" vertical="bottom"/>
    </xf>
    <xf borderId="0" fillId="9" fontId="101" numFmtId="0" xfId="0" applyAlignment="1" applyFont="1">
      <alignment horizontal="right" vertical="bottom"/>
    </xf>
    <xf borderId="0" fillId="27" fontId="102" numFmtId="0" xfId="0" applyAlignment="1" applyFill="1" applyFont="1">
      <alignment horizontal="right" readingOrder="0"/>
    </xf>
    <xf borderId="0" fillId="17" fontId="19" numFmtId="0" xfId="0" applyAlignment="1" applyFont="1">
      <alignment vertical="bottom"/>
    </xf>
    <xf borderId="0" fillId="26" fontId="21" numFmtId="0" xfId="0" applyAlignment="1" applyFont="1">
      <alignment horizontal="right" vertical="bottom"/>
    </xf>
    <xf borderId="0" fillId="26" fontId="10" numFmtId="0" xfId="0" applyAlignment="1" applyFont="1">
      <alignment horizontal="right" readingOrder="0"/>
    </xf>
    <xf borderId="14" fillId="0" fontId="19" numFmtId="0" xfId="0" applyAlignment="1" applyBorder="1" applyFont="1">
      <alignment vertical="bottom"/>
    </xf>
    <xf borderId="0" fillId="9" fontId="86" numFmtId="0" xfId="0" applyAlignment="1" applyFont="1">
      <alignment horizontal="right" readingOrder="0"/>
    </xf>
    <xf borderId="0" fillId="9" fontId="10" numFmtId="0" xfId="0" applyAlignment="1" applyFont="1">
      <alignment horizontal="right" readingOrder="0"/>
    </xf>
    <xf borderId="0" fillId="9" fontId="44" numFmtId="0" xfId="0" applyAlignment="1" applyFont="1">
      <alignment horizontal="right" readingOrder="0"/>
    </xf>
    <xf borderId="0" fillId="9" fontId="30" numFmtId="0" xfId="0" applyAlignment="1" applyFont="1">
      <alignment horizontal="right" vertical="bottom"/>
    </xf>
    <xf borderId="14" fillId="0" fontId="19" numFmtId="0" xfId="0" applyAlignment="1" applyBorder="1" applyFont="1">
      <alignment readingOrder="0" shrinkToFit="0" vertical="bottom" wrapText="1"/>
    </xf>
    <xf borderId="0" fillId="28" fontId="5" numFmtId="0" xfId="0" applyAlignment="1" applyFill="1" applyFont="1">
      <alignment horizontal="right" readingOrder="0"/>
    </xf>
    <xf borderId="0" fillId="29" fontId="19" numFmtId="0" xfId="0" applyAlignment="1" applyFill="1" applyFont="1">
      <alignment readingOrder="0" shrinkToFit="0" vertical="bottom" wrapText="1"/>
    </xf>
    <xf borderId="0" fillId="29" fontId="19" numFmtId="0" xfId="0" applyAlignment="1" applyFont="1">
      <alignment readingOrder="0" vertical="bottom"/>
    </xf>
    <xf borderId="0" fillId="5" fontId="19" numFmtId="0" xfId="0" applyAlignment="1" applyFont="1">
      <alignment readingOrder="0" vertical="bottom"/>
    </xf>
    <xf borderId="0" fillId="0" fontId="4" numFmtId="0" xfId="0" applyAlignment="1" applyFont="1">
      <alignment horizontal="right" readingOrder="0" shrinkToFit="0" wrapText="1"/>
    </xf>
    <xf borderId="0" fillId="0" fontId="4" numFmtId="0" xfId="0" applyAlignment="1" applyFont="1">
      <alignment horizontal="right"/>
    </xf>
    <xf borderId="20" fillId="2" fontId="5" numFmtId="0" xfId="0" applyAlignment="1" applyBorder="1" applyFont="1">
      <alignment horizontal="center" readingOrder="0"/>
    </xf>
    <xf borderId="38" fillId="0" fontId="6" numFmtId="0" xfId="0" applyBorder="1" applyFont="1"/>
    <xf borderId="33" fillId="0" fontId="6" numFmtId="0" xfId="0" applyBorder="1" applyFont="1"/>
    <xf borderId="39" fillId="2" fontId="5" numFmtId="0" xfId="0" applyAlignment="1" applyBorder="1" applyFont="1">
      <alignment horizontal="center" readingOrder="0"/>
    </xf>
    <xf borderId="40" fillId="2" fontId="4" numFmtId="0" xfId="0" applyAlignment="1" applyBorder="1" applyFont="1">
      <alignment horizontal="center" readingOrder="0"/>
    </xf>
    <xf borderId="41" fillId="0" fontId="6" numFmtId="0" xfId="0" applyBorder="1" applyFont="1"/>
    <xf borderId="16" fillId="2" fontId="5" numFmtId="0" xfId="0" applyAlignment="1" applyBorder="1" applyFont="1">
      <alignment horizontal="center" readingOrder="0"/>
    </xf>
    <xf borderId="17" fillId="0" fontId="6" numFmtId="0" xfId="0" applyBorder="1" applyFont="1"/>
    <xf borderId="42" fillId="2" fontId="4" numFmtId="0" xfId="0" applyAlignment="1" applyBorder="1" applyFont="1">
      <alignment horizontal="center" readingOrder="0"/>
    </xf>
    <xf borderId="42" fillId="0" fontId="6" numFmtId="0" xfId="0" applyBorder="1" applyFont="1"/>
    <xf borderId="0" fillId="2" fontId="10" numFmtId="0" xfId="0" applyAlignment="1" applyFont="1">
      <alignment horizontal="center" readingOrder="0" shrinkToFit="0" wrapText="1"/>
    </xf>
    <xf borderId="0" fillId="2" fontId="21" numFmtId="0" xfId="0" applyAlignment="1" applyFont="1">
      <alignment readingOrder="0" vertical="bottom"/>
    </xf>
    <xf borderId="14" fillId="0" fontId="86" numFmtId="0" xfId="0" applyAlignment="1" applyBorder="1" applyFont="1">
      <alignment horizontal="right" readingOrder="0"/>
    </xf>
    <xf borderId="17" fillId="0" fontId="9" numFmtId="10" xfId="0" applyAlignment="1" applyBorder="1" applyFont="1" applyNumberFormat="1">
      <alignment horizontal="right" readingOrder="0" shrinkToFit="0" wrapText="1"/>
    </xf>
    <xf borderId="14" fillId="0" fontId="9" numFmtId="10" xfId="0" applyAlignment="1" applyBorder="1" applyFont="1" applyNumberFormat="1">
      <alignment horizontal="right" readingOrder="0"/>
    </xf>
    <xf borderId="33" fillId="0" fontId="10" numFmtId="0" xfId="0" applyAlignment="1" applyBorder="1" applyFont="1">
      <alignment horizontal="right" readingOrder="0"/>
    </xf>
    <xf borderId="14" fillId="0" fontId="11" numFmtId="0" xfId="0" applyAlignment="1" applyBorder="1" applyFont="1">
      <alignment horizontal="right" readingOrder="0"/>
    </xf>
    <xf borderId="14" fillId="0" fontId="13" numFmtId="0" xfId="0" applyAlignment="1" applyBorder="1" applyFont="1">
      <alignment horizontal="right" readingOrder="0"/>
    </xf>
    <xf borderId="14" fillId="0" fontId="16" numFmtId="0" xfId="0" applyAlignment="1" applyBorder="1" applyFont="1">
      <alignment readingOrder="0"/>
    </xf>
    <xf borderId="11" fillId="30" fontId="19" numFmtId="0" xfId="0" applyAlignment="1" applyBorder="1" applyFill="1" applyFont="1">
      <alignment horizontal="center" readingOrder="0" shrinkToFit="0" vertical="center" wrapText="1"/>
    </xf>
    <xf borderId="11" fillId="18" fontId="19" numFmtId="0" xfId="0" applyAlignment="1" applyBorder="1" applyFont="1">
      <alignment horizontal="center" readingOrder="0" shrinkToFit="0" vertical="center" wrapText="1"/>
    </xf>
    <xf borderId="10" fillId="18" fontId="19" numFmtId="0" xfId="0" applyAlignment="1" applyBorder="1" applyFont="1">
      <alignment horizontal="center" readingOrder="0" shrinkToFit="0" vertical="center" wrapText="1"/>
    </xf>
    <xf borderId="14" fillId="3" fontId="20" numFmtId="9" xfId="0" applyAlignment="1" applyBorder="1" applyFont="1" applyNumberFormat="1">
      <alignment horizontal="right" shrinkToFit="0" wrapText="1"/>
    </xf>
    <xf borderId="14" fillId="4" fontId="20" numFmtId="9" xfId="0" applyAlignment="1" applyBorder="1" applyFont="1" applyNumberFormat="1">
      <alignment horizontal="right" shrinkToFit="0" wrapText="1"/>
    </xf>
    <xf borderId="14" fillId="5" fontId="20" numFmtId="9" xfId="0" applyAlignment="1" applyBorder="1" applyFont="1" applyNumberFormat="1">
      <alignment horizontal="right" shrinkToFit="0" wrapText="1"/>
    </xf>
    <xf borderId="14" fillId="6" fontId="18" numFmtId="9" xfId="0" applyAlignment="1" applyBorder="1" applyFont="1" applyNumberFormat="1">
      <alignment horizontal="right" shrinkToFit="0" vertical="bottom" wrapText="1"/>
    </xf>
    <xf borderId="14" fillId="7" fontId="18" numFmtId="9" xfId="0" applyAlignment="1" applyBorder="1" applyFont="1" applyNumberFormat="1">
      <alignment horizontal="right" shrinkToFit="0" vertical="bottom" wrapText="1"/>
    </xf>
    <xf borderId="0" fillId="16" fontId="18" numFmtId="0" xfId="0" applyAlignment="1" applyFont="1">
      <alignment horizontal="right" readingOrder="0" vertical="bottom"/>
    </xf>
    <xf borderId="0" fillId="16" fontId="18" numFmtId="9" xfId="0" applyAlignment="1" applyFont="1" applyNumberFormat="1">
      <alignment horizontal="right" shrinkToFit="0" vertical="bottom" wrapText="1"/>
    </xf>
    <xf borderId="0" fillId="16" fontId="19" numFmtId="9" xfId="0" applyAlignment="1" applyFont="1" applyNumberFormat="1">
      <alignment horizontal="center" vertical="bottom"/>
    </xf>
    <xf borderId="0" fillId="16" fontId="19" numFmtId="1" xfId="0" applyAlignment="1" applyFont="1" applyNumberFormat="1">
      <alignment vertical="bottom"/>
    </xf>
    <xf borderId="0" fillId="16" fontId="19" numFmtId="0" xfId="0" applyAlignment="1" applyFont="1">
      <alignment vertical="bottom"/>
    </xf>
    <xf borderId="14" fillId="8" fontId="19" numFmtId="9" xfId="0" applyAlignment="1" applyBorder="1" applyFont="1" applyNumberFormat="1">
      <alignment horizontal="center" vertical="bottom"/>
    </xf>
    <xf borderId="43" fillId="0" fontId="103" numFmtId="0" xfId="0" applyAlignment="1" applyBorder="1" applyFont="1">
      <alignment horizontal="right" vertical="bottom"/>
    </xf>
    <xf borderId="43" fillId="0" fontId="19" numFmtId="0" xfId="0" applyAlignment="1" applyBorder="1" applyFont="1">
      <alignment vertical="bottom"/>
    </xf>
    <xf borderId="43" fillId="0" fontId="19" numFmtId="0" xfId="0" applyAlignment="1" applyBorder="1" applyFont="1">
      <alignment readingOrder="0" vertical="bottom"/>
    </xf>
    <xf borderId="44" fillId="0" fontId="19" numFmtId="0" xfId="0" applyAlignment="1" applyBorder="1" applyFont="1">
      <alignment readingOrder="0" vertical="bottom"/>
    </xf>
    <xf borderId="43" fillId="0" fontId="30" numFmtId="0" xfId="0" applyAlignment="1" applyBorder="1" applyFont="1">
      <alignment horizontal="right" readingOrder="0" vertical="bottom"/>
    </xf>
    <xf borderId="43" fillId="0" fontId="30" numFmtId="0" xfId="0" applyAlignment="1" applyBorder="1" applyFont="1">
      <alignment horizontal="right" readingOrder="0" shrinkToFit="0" vertical="bottom" wrapText="1"/>
    </xf>
    <xf borderId="43" fillId="0" fontId="30" numFmtId="0" xfId="0" applyAlignment="1" applyBorder="1" applyFont="1">
      <alignment horizontal="right" shrinkToFit="0" vertical="bottom" wrapText="1"/>
    </xf>
    <xf borderId="43" fillId="0" fontId="30" numFmtId="0" xfId="0" applyAlignment="1" applyBorder="1" applyFont="1">
      <alignment horizontal="right" vertical="bottom"/>
    </xf>
    <xf borderId="45" fillId="0" fontId="103" numFmtId="0" xfId="0" applyAlignment="1" applyBorder="1" applyFont="1">
      <alignment horizontal="right" vertical="bottom"/>
    </xf>
    <xf borderId="45" fillId="0" fontId="19" numFmtId="0" xfId="0" applyAlignment="1" applyBorder="1" applyFont="1">
      <alignment vertical="bottom"/>
    </xf>
    <xf borderId="45" fillId="0" fontId="19" numFmtId="0" xfId="0" applyAlignment="1" applyBorder="1" applyFont="1">
      <alignment readingOrder="0" vertical="bottom"/>
    </xf>
    <xf borderId="46" fillId="0" fontId="19" numFmtId="0" xfId="0" applyAlignment="1" applyBorder="1" applyFont="1">
      <alignment readingOrder="0" vertical="bottom"/>
    </xf>
    <xf borderId="45" fillId="0" fontId="30" numFmtId="0" xfId="0" applyAlignment="1" applyBorder="1" applyFont="1">
      <alignment horizontal="right" readingOrder="0" vertical="bottom"/>
    </xf>
    <xf borderId="45" fillId="0" fontId="30" numFmtId="0" xfId="0" applyAlignment="1" applyBorder="1" applyFont="1">
      <alignment horizontal="right" readingOrder="0" shrinkToFit="0" vertical="bottom" wrapText="1"/>
    </xf>
    <xf borderId="45" fillId="0" fontId="30" numFmtId="0" xfId="0" applyAlignment="1" applyBorder="1" applyFont="1">
      <alignment horizontal="right" shrinkToFit="0" vertical="bottom" wrapText="1"/>
    </xf>
    <xf borderId="45" fillId="0" fontId="30" numFmtId="0" xfId="0" applyAlignment="1" applyBorder="1" applyFont="1">
      <alignment horizontal="right" vertical="bottom"/>
    </xf>
    <xf borderId="0" fillId="0" fontId="103" numFmtId="0" xfId="0" applyAlignment="1" applyFont="1">
      <alignment horizontal="right" vertical="bottom"/>
    </xf>
    <xf borderId="14" fillId="0" fontId="19" numFmtId="0" xfId="0" applyAlignment="1" applyBorder="1" applyFont="1">
      <alignment readingOrder="0" vertical="bottom"/>
    </xf>
    <xf borderId="0" fillId="0" fontId="30" numFmtId="0" xfId="0" applyAlignment="1" applyFont="1">
      <alignment horizontal="right" readingOrder="0" vertical="bottom"/>
    </xf>
    <xf borderId="0" fillId="0" fontId="30" numFmtId="0" xfId="0" applyAlignment="1" applyFont="1">
      <alignment horizontal="right" readingOrder="0" shrinkToFit="0" vertical="bottom" wrapText="1"/>
    </xf>
    <xf borderId="0" fillId="0" fontId="30" numFmtId="0" xfId="0" applyAlignment="1" applyFont="1">
      <alignment vertical="bottom"/>
    </xf>
    <xf borderId="1" fillId="0" fontId="103" numFmtId="0" xfId="0" applyAlignment="1" applyBorder="1" applyFont="1">
      <alignment horizontal="right" vertical="bottom"/>
    </xf>
    <xf borderId="1" fillId="0" fontId="19" numFmtId="0" xfId="0" applyAlignment="1" applyBorder="1" applyFont="1">
      <alignment vertical="bottom"/>
    </xf>
    <xf borderId="1" fillId="0" fontId="19" numFmtId="0" xfId="0" applyAlignment="1" applyBorder="1" applyFont="1">
      <alignment readingOrder="0" vertical="bottom"/>
    </xf>
    <xf borderId="17" fillId="0" fontId="19" numFmtId="0" xfId="0" applyAlignment="1" applyBorder="1" applyFont="1">
      <alignment readingOrder="0" vertical="bottom"/>
    </xf>
    <xf borderId="1" fillId="0" fontId="30" numFmtId="0" xfId="0" applyAlignment="1" applyBorder="1" applyFont="1">
      <alignment horizontal="right" readingOrder="0" vertical="bottom"/>
    </xf>
    <xf borderId="1" fillId="0" fontId="30" numFmtId="0" xfId="0" applyAlignment="1" applyBorder="1" applyFont="1">
      <alignment horizontal="right" vertical="bottom"/>
    </xf>
    <xf borderId="1" fillId="0" fontId="30" numFmtId="0" xfId="0" applyAlignment="1" applyBorder="1" applyFont="1">
      <alignment vertical="bottom"/>
    </xf>
    <xf borderId="14" fillId="0" fontId="19" numFmtId="0" xfId="0" applyAlignment="1" applyBorder="1" applyFont="1">
      <alignment vertical="bottom"/>
    </xf>
    <xf borderId="0" fillId="0" fontId="19" numFmtId="0" xfId="0" applyAlignment="1" applyFont="1">
      <alignment horizontal="right" shrinkToFit="0" vertical="bottom" wrapText="1"/>
    </xf>
    <xf borderId="0" fillId="0" fontId="19" numFmtId="0" xfId="0" applyAlignment="1" applyFont="1">
      <alignment horizontal="right" readingOrder="0" shrinkToFit="0" vertical="bottom" wrapText="1"/>
    </xf>
    <xf borderId="0" fillId="0" fontId="104" numFmtId="0" xfId="0" applyAlignment="1" applyFont="1">
      <alignment readingOrder="0" vertical="bottom"/>
    </xf>
    <xf borderId="0" fillId="0" fontId="105" numFmtId="0" xfId="0" applyAlignment="1" applyFont="1">
      <alignment horizontal="right" vertical="bottom"/>
    </xf>
    <xf borderId="14" fillId="13" fontId="19" numFmtId="0" xfId="0" applyAlignment="1" applyBorder="1" applyFont="1">
      <alignment vertical="bottom"/>
    </xf>
    <xf borderId="14" fillId="13" fontId="19" numFmtId="0" xfId="0" applyAlignment="1" applyBorder="1" applyFont="1">
      <alignment vertical="bottom"/>
    </xf>
    <xf borderId="0" fillId="0" fontId="4" numFmtId="9" xfId="0" applyAlignment="1" applyFont="1" applyNumberFormat="1">
      <alignment readingOrder="0"/>
    </xf>
    <xf borderId="0" fillId="6" fontId="18" numFmtId="0" xfId="0" applyAlignment="1" applyFont="1">
      <alignment horizontal="right" readingOrder="0" vertical="bottom"/>
    </xf>
    <xf borderId="0" fillId="6" fontId="18" numFmtId="0" xfId="0" applyAlignment="1" applyFont="1">
      <alignment horizontal="right" readingOrder="0" shrinkToFit="0" vertical="bottom" wrapText="1"/>
    </xf>
    <xf borderId="0" fillId="0" fontId="19" numFmtId="2" xfId="0" applyAlignment="1" applyFont="1" applyNumberFormat="1">
      <alignment readingOrder="0" vertical="bottom"/>
    </xf>
    <xf borderId="0" fillId="31" fontId="19" numFmtId="2" xfId="0" applyAlignment="1" applyFill="1" applyFont="1" applyNumberFormat="1">
      <alignment readingOrder="0" vertical="bottom"/>
    </xf>
    <xf borderId="14" fillId="31" fontId="19" numFmtId="2" xfId="0" applyAlignment="1" applyBorder="1" applyFont="1" applyNumberFormat="1">
      <alignment readingOrder="0" vertical="bottom"/>
    </xf>
    <xf borderId="14" fillId="0" fontId="19" numFmtId="2" xfId="0" applyAlignment="1" applyBorder="1" applyFont="1" applyNumberFormat="1">
      <alignment readingOrder="0" vertical="bottom"/>
    </xf>
    <xf borderId="0" fillId="0" fontId="4" numFmtId="2" xfId="0" applyFont="1" applyNumberFormat="1"/>
    <xf borderId="11" fillId="2" fontId="19" numFmtId="0" xfId="0" applyAlignment="1" applyBorder="1" applyFont="1">
      <alignment readingOrder="0" vertical="bottom"/>
    </xf>
    <xf borderId="0" fillId="2" fontId="44" numFmtId="0" xfId="0" applyAlignment="1" applyFont="1">
      <alignment horizontal="center" readingOrder="0"/>
    </xf>
    <xf borderId="23" fillId="2" fontId="4" numFmtId="0" xfId="0" applyAlignment="1" applyBorder="1" applyFont="1">
      <alignment horizontal="center" readingOrder="0"/>
    </xf>
    <xf borderId="11" fillId="2" fontId="4" numFmtId="0" xfId="0" applyAlignment="1" applyBorder="1" applyFont="1">
      <alignment horizontal="center" readingOrder="0"/>
    </xf>
    <xf borderId="0" fillId="2" fontId="21" numFmtId="0" xfId="0" applyAlignment="1" applyFont="1">
      <alignment vertical="bottom"/>
    </xf>
    <xf borderId="22" fillId="2" fontId="8" numFmtId="0" xfId="0" applyAlignment="1" applyBorder="1" applyFont="1">
      <alignment horizontal="center" readingOrder="0" shrinkToFit="0" wrapText="1"/>
    </xf>
    <xf borderId="11" fillId="0" fontId="106" numFmtId="0" xfId="0" applyAlignment="1" applyBorder="1" applyFont="1">
      <alignment readingOrder="0"/>
    </xf>
    <xf borderId="27" fillId="0" fontId="9" numFmtId="0" xfId="0" applyAlignment="1" applyBorder="1" applyFont="1">
      <alignment horizontal="right" readingOrder="0"/>
    </xf>
    <xf borderId="28" fillId="0" fontId="9" numFmtId="0" xfId="0" applyAlignment="1" applyBorder="1" applyFont="1">
      <alignment horizontal="right" readingOrder="0"/>
    </xf>
    <xf borderId="47" fillId="0" fontId="9" numFmtId="9" xfId="0" applyAlignment="1" applyBorder="1" applyFont="1" applyNumberFormat="1">
      <alignment horizontal="right" readingOrder="0" shrinkToFit="0" wrapText="1"/>
    </xf>
    <xf borderId="29" fillId="0" fontId="9" numFmtId="9" xfId="0" applyAlignment="1" applyBorder="1" applyFont="1" applyNumberFormat="1">
      <alignment horizontal="right" readingOrder="0" shrinkToFit="0" wrapText="1"/>
    </xf>
    <xf borderId="8" fillId="0" fontId="15" numFmtId="0" xfId="0" applyAlignment="1" applyBorder="1" applyFont="1">
      <alignment horizontal="right" readingOrder="0"/>
    </xf>
    <xf borderId="11" fillId="18" fontId="19" numFmtId="0" xfId="0" applyAlignment="1" applyBorder="1" applyFont="1">
      <alignment horizontal="left" readingOrder="0" shrinkToFit="0" vertical="center" wrapText="1"/>
    </xf>
    <xf borderId="11" fillId="30" fontId="19" numFmtId="0" xfId="0" applyAlignment="1" applyBorder="1" applyFont="1">
      <alignment horizontal="left" readingOrder="0" shrinkToFit="0" vertical="center" wrapText="1"/>
    </xf>
    <xf borderId="11" fillId="30" fontId="19" numFmtId="0" xfId="0" applyAlignment="1" applyBorder="1" applyFont="1">
      <alignment readingOrder="0" shrinkToFit="0" vertical="center" wrapText="1"/>
    </xf>
    <xf borderId="11" fillId="30" fontId="19" numFmtId="0" xfId="0" applyAlignment="1" applyBorder="1" applyFont="1">
      <alignment readingOrder="0" shrinkToFit="0" vertical="top" wrapText="1"/>
    </xf>
    <xf borderId="23" fillId="30" fontId="19" numFmtId="0" xfId="0" applyAlignment="1" applyBorder="1" applyFont="1">
      <alignment readingOrder="0" shrinkToFit="0" vertical="top" wrapText="1"/>
    </xf>
    <xf borderId="22" fillId="16" fontId="18" numFmtId="9" xfId="0" applyAlignment="1" applyBorder="1" applyFont="1" applyNumberFormat="1">
      <alignment horizontal="right" shrinkToFit="0" vertical="bottom" wrapText="1"/>
    </xf>
    <xf borderId="0" fillId="0" fontId="103" numFmtId="0" xfId="0" applyAlignment="1" applyFont="1">
      <alignment horizontal="right" readingOrder="0" vertical="bottom"/>
    </xf>
    <xf borderId="0" fillId="0" fontId="10" numFmtId="0" xfId="0" applyAlignment="1" applyFont="1">
      <alignment horizontal="right" shrinkToFit="0" wrapText="1"/>
    </xf>
    <xf borderId="0" fillId="0" fontId="107" numFmtId="0" xfId="0" applyAlignment="1" applyFont="1">
      <alignment horizontal="right" readingOrder="0"/>
    </xf>
    <xf borderId="8" fillId="0" fontId="108" numFmtId="0" xfId="0" applyAlignment="1" applyBorder="1" applyFont="1">
      <alignment horizontal="right" readingOrder="0"/>
    </xf>
    <xf borderId="0" fillId="22" fontId="18" numFmtId="0" xfId="0" applyAlignment="1" applyFont="1">
      <alignment horizontal="right" readingOrder="0" vertical="bottom"/>
    </xf>
    <xf borderId="0" fillId="22" fontId="18" numFmtId="9" xfId="0" applyAlignment="1" applyFont="1" applyNumberFormat="1">
      <alignment horizontal="right" shrinkToFit="0" vertical="bottom" wrapText="1"/>
    </xf>
    <xf borderId="0" fillId="22" fontId="18" numFmtId="9" xfId="0" applyAlignment="1" applyFont="1" applyNumberFormat="1">
      <alignment horizontal="center" vertical="bottom"/>
    </xf>
    <xf borderId="0" fillId="22" fontId="19" numFmtId="9" xfId="0" applyAlignment="1" applyFont="1" applyNumberFormat="1">
      <alignment vertical="bottom"/>
    </xf>
    <xf borderId="0" fillId="0" fontId="1" numFmtId="0" xfId="0" applyAlignment="1" applyFont="1">
      <alignment horizontal="center" readingOrder="0" shrinkToFit="0" vertical="center" wrapText="1"/>
    </xf>
    <xf borderId="0" fillId="0" fontId="3" numFmtId="0" xfId="0" applyAlignment="1" applyFont="1">
      <alignment horizontal="center" readingOrder="0" shrinkToFit="0" wrapText="1"/>
    </xf>
    <xf borderId="2" fillId="2" fontId="4" numFmtId="0" xfId="0" applyAlignment="1" applyBorder="1" applyFont="1">
      <alignment horizontal="center" readingOrder="0" shrinkToFit="0" wrapText="1"/>
    </xf>
    <xf borderId="0" fillId="2" fontId="5" numFmtId="0" xfId="0" applyAlignment="1" applyFont="1">
      <alignment horizontal="right" readingOrder="0" shrinkToFit="0" vertical="center" wrapText="1"/>
    </xf>
    <xf borderId="0" fillId="2" fontId="8" numFmtId="0" xfId="0" applyAlignment="1" applyFont="1">
      <alignment horizontal="center" readingOrder="0" shrinkToFit="0" vertical="center" wrapText="1"/>
    </xf>
    <xf borderId="8" fillId="2" fontId="8" numFmtId="0" xfId="0" applyAlignment="1" applyBorder="1" applyFont="1">
      <alignment horizontal="center" readingOrder="0" shrinkToFit="0" vertical="center" wrapText="1"/>
    </xf>
    <xf borderId="0" fillId="2" fontId="8" numFmtId="0" xfId="0" applyAlignment="1" applyFont="1">
      <alignment readingOrder="0" shrinkToFit="0" vertical="center" wrapText="1"/>
    </xf>
    <xf borderId="0" fillId="2" fontId="8" numFmtId="0" xfId="0" applyAlignment="1" applyFont="1">
      <alignment shrinkToFit="0" vertical="center" wrapText="1"/>
    </xf>
    <xf borderId="0" fillId="0" fontId="5" numFmtId="0" xfId="0" applyAlignment="1" applyFont="1">
      <alignment horizontal="right" readingOrder="0" shrinkToFit="0" wrapText="1"/>
    </xf>
    <xf borderId="9" fillId="0" fontId="9" numFmtId="0" xfId="0" applyAlignment="1" applyBorder="1" applyFont="1">
      <alignment horizontal="right" readingOrder="0" shrinkToFit="0" wrapText="1"/>
    </xf>
    <xf borderId="13" fillId="0" fontId="9" numFmtId="0" xfId="0" applyAlignment="1" applyBorder="1" applyFont="1">
      <alignment horizontal="right" readingOrder="0" shrinkToFit="0" wrapText="1"/>
    </xf>
    <xf borderId="16" fillId="0" fontId="9" numFmtId="0" xfId="0" applyAlignment="1" applyBorder="1" applyFont="1">
      <alignment horizontal="right" readingOrder="0" shrinkToFit="0" wrapText="1"/>
    </xf>
    <xf borderId="9" fillId="0" fontId="10" numFmtId="0" xfId="0" applyAlignment="1" applyBorder="1" applyFont="1">
      <alignment horizontal="right" readingOrder="0" shrinkToFit="0" wrapText="1"/>
    </xf>
    <xf borderId="13" fillId="0" fontId="10" numFmtId="0" xfId="0" applyAlignment="1" applyBorder="1" applyFont="1">
      <alignment horizontal="right" readingOrder="0" shrinkToFit="0" wrapText="1"/>
    </xf>
    <xf borderId="16" fillId="0" fontId="10" numFmtId="0" xfId="0" applyAlignment="1" applyBorder="1" applyFont="1">
      <alignment horizontal="right" readingOrder="0" shrinkToFit="0" wrapText="1"/>
    </xf>
    <xf borderId="13" fillId="0" fontId="16" numFmtId="0" xfId="0" applyAlignment="1" applyBorder="1" applyFont="1">
      <alignment horizontal="right" readingOrder="0" shrinkToFit="0" wrapText="1"/>
    </xf>
    <xf borderId="0" fillId="0" fontId="16" numFmtId="0" xfId="0" applyAlignment="1" applyFont="1">
      <alignment readingOrder="0" shrinkToFit="0" wrapText="1"/>
    </xf>
    <xf borderId="11" fillId="4" fontId="19" numFmtId="0" xfId="0" applyAlignment="1" applyBorder="1" applyFont="1">
      <alignment readingOrder="0" shrinkToFit="0" vertical="top" wrapText="0"/>
    </xf>
    <xf borderId="11" fillId="4" fontId="109" numFmtId="0" xfId="0" applyAlignment="1" applyBorder="1" applyFont="1">
      <alignment readingOrder="0" shrinkToFit="0" vertical="top" wrapText="0"/>
    </xf>
    <xf borderId="11" fillId="32" fontId="110" numFmtId="0" xfId="0" applyAlignment="1" applyBorder="1" applyFill="1" applyFont="1">
      <alignment readingOrder="0" shrinkToFit="0" vertical="top" wrapText="0"/>
    </xf>
    <xf borderId="11" fillId="17" fontId="111" numFmtId="0" xfId="0" applyAlignment="1" applyBorder="1" applyFont="1">
      <alignment readingOrder="0" shrinkToFit="0" vertical="top" wrapText="0"/>
    </xf>
    <xf borderId="0" fillId="4" fontId="20" numFmtId="0" xfId="0" applyAlignment="1" applyFont="1">
      <alignment horizontal="right" readingOrder="0" shrinkToFit="0" wrapText="1"/>
    </xf>
    <xf borderId="0" fillId="5" fontId="20" numFmtId="0" xfId="0" applyAlignment="1" applyFont="1">
      <alignment horizontal="right" readingOrder="0" shrinkToFit="0" wrapText="1"/>
    </xf>
    <xf borderId="0" fillId="6" fontId="18" numFmtId="0" xfId="0" applyAlignment="1" applyFont="1">
      <alignment horizontal="right" shrinkToFit="0" vertical="bottom" wrapText="1"/>
    </xf>
    <xf borderId="0" fillId="7" fontId="18" numFmtId="0" xfId="0" applyAlignment="1" applyFont="1">
      <alignment horizontal="right" readingOrder="0" shrinkToFit="0" vertical="bottom" wrapText="1"/>
    </xf>
    <xf borderId="0" fillId="8" fontId="18" numFmtId="0" xfId="0" applyAlignment="1" applyFont="1">
      <alignment horizontal="right" shrinkToFit="0" vertical="bottom" wrapText="1"/>
    </xf>
    <xf borderId="0" fillId="0" fontId="34" numFmtId="10" xfId="0" applyAlignment="1" applyFont="1" applyNumberFormat="1">
      <alignment horizontal="right" shrinkToFit="0" vertical="bottom" wrapText="1"/>
    </xf>
    <xf borderId="0" fillId="9" fontId="21" numFmtId="0" xfId="0" applyAlignment="1" applyFont="1">
      <alignment horizontal="right" shrinkToFit="0" vertical="bottom" wrapText="1"/>
    </xf>
    <xf borderId="0" fillId="10" fontId="30" numFmtId="0" xfId="0" applyAlignment="1" applyFont="1">
      <alignment horizontal="right" readingOrder="0" shrinkToFit="0" vertical="bottom" wrapText="1"/>
    </xf>
    <xf borderId="0" fillId="10" fontId="30" numFmtId="0" xfId="0" applyAlignment="1" applyFont="1">
      <alignment horizontal="right" shrinkToFit="0" vertical="bottom" wrapText="1"/>
    </xf>
    <xf borderId="1" fillId="10" fontId="30" numFmtId="0" xfId="0" applyAlignment="1" applyBorder="1" applyFont="1">
      <alignment horizontal="right" shrinkToFit="0" vertical="bottom" wrapText="1"/>
    </xf>
    <xf borderId="1" fillId="0" fontId="19" numFmtId="0" xfId="0" applyAlignment="1" applyBorder="1" applyFont="1">
      <alignment horizontal="right" shrinkToFit="0" vertical="bottom" wrapText="1"/>
    </xf>
    <xf borderId="1" fillId="0" fontId="19" numFmtId="0" xfId="0" applyAlignment="1" applyBorder="1" applyFont="1">
      <alignment readingOrder="0" shrinkToFit="0" vertical="bottom" wrapText="1"/>
    </xf>
    <xf borderId="1" fillId="0" fontId="19" numFmtId="0" xfId="0" applyAlignment="1" applyBorder="1" applyFont="1">
      <alignment readingOrder="0" vertical="bottom"/>
    </xf>
    <xf borderId="47" fillId="0" fontId="19" numFmtId="0" xfId="0" applyAlignment="1" applyBorder="1" applyFont="1">
      <alignment readingOrder="0" vertical="bottom"/>
    </xf>
    <xf borderId="1" fillId="0" fontId="19" numFmtId="0" xfId="0" applyAlignment="1" applyBorder="1" applyFont="1">
      <alignment vertical="bottom"/>
    </xf>
    <xf borderId="1" fillId="0" fontId="19" numFmtId="0" xfId="0" applyAlignment="1" applyBorder="1" applyFont="1">
      <alignment shrinkToFit="0" vertical="bottom" wrapText="1"/>
    </xf>
    <xf borderId="1" fillId="10" fontId="30" numFmtId="0" xfId="0" applyAlignment="1" applyBorder="1" applyFont="1">
      <alignment horizontal="right" readingOrder="0" shrinkToFit="0" vertical="bottom" wrapText="1"/>
    </xf>
    <xf borderId="1" fillId="0" fontId="19" numFmtId="0" xfId="0" applyAlignment="1" applyBorder="1" applyFont="1">
      <alignment horizontal="right" readingOrder="0" shrinkToFit="0" vertical="bottom" wrapText="1"/>
    </xf>
    <xf borderId="1" fillId="11" fontId="19" numFmtId="0" xfId="0" applyAlignment="1" applyBorder="1" applyFont="1">
      <alignment readingOrder="0" shrinkToFit="0" vertical="bottom" wrapText="1"/>
    </xf>
    <xf borderId="1" fillId="0" fontId="4" numFmtId="0" xfId="0" applyAlignment="1" applyBorder="1" applyFont="1">
      <alignment readingOrder="0"/>
    </xf>
    <xf borderId="1" fillId="11" fontId="19" numFmtId="0" xfId="0" applyAlignment="1" applyBorder="1" applyFont="1">
      <alignment horizontal="right" readingOrder="0" shrinkToFit="0" vertical="bottom" wrapText="1"/>
    </xf>
    <xf borderId="1" fillId="0" fontId="19" numFmtId="0" xfId="0" applyAlignment="1" applyBorder="1" applyFont="1">
      <alignment horizontal="right" readingOrder="0" shrinkToFit="0" vertical="bottom" wrapText="1"/>
    </xf>
    <xf borderId="1" fillId="0" fontId="19" numFmtId="0" xfId="0" applyAlignment="1" applyBorder="1" applyFont="1">
      <alignment horizontal="right" readingOrder="0" vertical="bottom"/>
    </xf>
    <xf borderId="1" fillId="0" fontId="19" numFmtId="0" xfId="0" applyAlignment="1" applyBorder="1" applyFont="1">
      <alignment horizontal="right" vertical="bottom"/>
    </xf>
    <xf borderId="11" fillId="0" fontId="19" numFmtId="0" xfId="0" applyAlignment="1" applyBorder="1" applyFont="1">
      <alignment readingOrder="0" vertical="bottom"/>
    </xf>
    <xf borderId="9" fillId="0" fontId="19" numFmtId="0" xfId="0" applyAlignment="1" applyBorder="1" applyFont="1">
      <alignment readingOrder="0" vertical="bottom"/>
    </xf>
    <xf borderId="0" fillId="10" fontId="10" numFmtId="0" xfId="0" applyAlignment="1" applyFont="1">
      <alignment horizontal="right" readingOrder="0" shrinkToFit="0" wrapText="1"/>
    </xf>
    <xf borderId="0" fillId="2" fontId="8" numFmtId="0" xfId="0" applyAlignment="1" applyFont="1">
      <alignment readingOrder="0"/>
    </xf>
    <xf borderId="20" fillId="2" fontId="4" numFmtId="0" xfId="0" applyAlignment="1" applyBorder="1" applyFont="1">
      <alignment horizontal="center" readingOrder="0"/>
    </xf>
    <xf borderId="19" fillId="2" fontId="10" numFmtId="0" xfId="0" applyAlignment="1" applyBorder="1" applyFont="1">
      <alignment horizontal="center" readingOrder="0" shrinkToFit="0" wrapText="1"/>
    </xf>
    <xf borderId="0" fillId="2" fontId="101" numFmtId="0" xfId="0" applyAlignment="1" applyFont="1">
      <alignment horizontal="center" readingOrder="0" shrinkToFit="0" wrapText="1"/>
    </xf>
    <xf borderId="0" fillId="18" fontId="112" numFmtId="0" xfId="0" applyAlignment="1" applyFont="1">
      <alignment horizontal="left" readingOrder="0" shrinkToFit="0" vertical="top" wrapText="1"/>
    </xf>
    <xf borderId="0" fillId="18" fontId="112" numFmtId="0" xfId="0" applyAlignment="1" applyFont="1">
      <alignment readingOrder="0" shrinkToFit="0" wrapText="1"/>
    </xf>
    <xf borderId="48" fillId="3" fontId="34" numFmtId="0" xfId="0" applyAlignment="1" applyBorder="1" applyFont="1">
      <alignment horizontal="right" shrinkToFit="0" vertical="bottom" wrapText="1"/>
    </xf>
    <xf borderId="48" fillId="8" fontId="34" numFmtId="9" xfId="0" applyAlignment="1" applyBorder="1" applyFont="1" applyNumberFormat="1">
      <alignment horizontal="right" shrinkToFit="0" vertical="bottom" wrapText="1"/>
    </xf>
    <xf borderId="48" fillId="0" fontId="19" numFmtId="1" xfId="0" applyAlignment="1" applyBorder="1" applyFont="1" applyNumberFormat="1">
      <alignment vertical="bottom"/>
    </xf>
    <xf borderId="48" fillId="0" fontId="19" numFmtId="0" xfId="0" applyAlignment="1" applyBorder="1" applyFont="1">
      <alignment vertical="bottom"/>
    </xf>
    <xf borderId="0" fillId="33" fontId="19" numFmtId="164" xfId="0" applyAlignment="1" applyFill="1" applyFont="1" applyNumberFormat="1">
      <alignment vertical="bottom"/>
    </xf>
    <xf borderId="0" fillId="9" fontId="19" numFmtId="164" xfId="0" applyAlignment="1" applyFont="1" applyNumberFormat="1">
      <alignment vertical="bottom"/>
    </xf>
    <xf borderId="0" fillId="2" fontId="4" numFmtId="0" xfId="0" applyAlignment="1" applyFont="1">
      <alignment horizontal="center" readingOrder="0" shrinkToFit="0" wrapText="1"/>
    </xf>
    <xf borderId="14" fillId="0" fontId="30" numFmtId="0" xfId="0" applyAlignment="1" applyBorder="1" applyFont="1">
      <alignment horizontal="right" vertical="bottom"/>
    </xf>
    <xf borderId="14" fillId="0" fontId="30" numFmtId="0" xfId="0" applyAlignment="1" applyBorder="1" applyFont="1">
      <alignment horizontal="right" shrinkToFit="0" vertical="bottom" wrapText="1"/>
    </xf>
    <xf borderId="17" fillId="0" fontId="30" numFmtId="9" xfId="0" applyAlignment="1" applyBorder="1" applyFont="1" applyNumberFormat="1">
      <alignment horizontal="right" vertical="bottom"/>
    </xf>
    <xf borderId="17" fillId="0" fontId="30" numFmtId="9" xfId="0" applyAlignment="1" applyBorder="1" applyFont="1" applyNumberFormat="1">
      <alignment horizontal="right" shrinkToFit="0" vertical="bottom" wrapText="1"/>
    </xf>
    <xf borderId="0" fillId="0" fontId="15" numFmtId="0" xfId="0" applyAlignment="1" applyFont="1">
      <alignment readingOrder="0"/>
    </xf>
    <xf borderId="0" fillId="0" fontId="15" numFmtId="0" xfId="0" applyAlignment="1" applyFont="1">
      <alignment readingOrder="0" shrinkToFit="0" wrapText="1"/>
    </xf>
    <xf borderId="0" fillId="0" fontId="113" numFmtId="0" xfId="0" applyAlignment="1" applyFont="1">
      <alignment horizontal="right" readingOrder="0"/>
    </xf>
    <xf borderId="0" fillId="0" fontId="16" numFmtId="0" xfId="0" applyAlignment="1" applyFont="1">
      <alignment horizontal="right" readingOrder="0"/>
    </xf>
    <xf borderId="0" fillId="18" fontId="114" numFmtId="0" xfId="0" applyAlignment="1" applyFont="1">
      <alignment readingOrder="0" shrinkToFit="0" wrapText="1"/>
    </xf>
    <xf borderId="11" fillId="18" fontId="43" numFmtId="0" xfId="0" applyAlignment="1" applyBorder="1" applyFont="1">
      <alignment readingOrder="0" shrinkToFit="0" vertical="top" wrapText="1"/>
    </xf>
    <xf borderId="11" fillId="17" fontId="43" numFmtId="0" xfId="0" applyAlignment="1" applyBorder="1" applyFont="1">
      <alignment readingOrder="0" shrinkToFit="0" vertical="top" wrapText="1"/>
    </xf>
    <xf borderId="11" fillId="4" fontId="19" numFmtId="0" xfId="0" applyAlignment="1" applyBorder="1" applyFont="1">
      <alignment readingOrder="0" shrinkToFit="0" vertical="top" wrapText="1"/>
    </xf>
    <xf borderId="0" fillId="18" fontId="100" numFmtId="0" xfId="0" applyAlignment="1" applyFont="1">
      <alignment readingOrder="0" shrinkToFit="0" vertical="top" wrapText="1"/>
    </xf>
    <xf borderId="0" fillId="11" fontId="115" numFmtId="9" xfId="0" applyAlignment="1" applyFont="1" applyNumberFormat="1">
      <alignment readingOrder="0"/>
    </xf>
    <xf borderId="48" fillId="3" fontId="34" numFmtId="0" xfId="0" applyAlignment="1" applyBorder="1" applyFont="1">
      <alignment horizontal="right" vertical="bottom"/>
    </xf>
    <xf borderId="48" fillId="8" fontId="34" numFmtId="9" xfId="0" applyAlignment="1" applyBorder="1" applyFont="1" applyNumberFormat="1">
      <alignment horizontal="right" readingOrder="0" shrinkToFit="0" vertical="bottom" wrapText="1"/>
    </xf>
    <xf borderId="0" fillId="0" fontId="19" numFmtId="0" xfId="0" applyAlignment="1" applyFont="1">
      <alignment shrinkToFit="0" vertical="bottom" wrapText="1"/>
    </xf>
    <xf borderId="0" fillId="9" fontId="19" numFmtId="1" xfId="0" applyAlignment="1" applyFont="1" applyNumberFormat="1">
      <alignment vertical="bottom"/>
    </xf>
    <xf borderId="0" fillId="33" fontId="30" numFmtId="0" xfId="0" applyAlignment="1" applyFont="1">
      <alignment vertical="bottom"/>
    </xf>
    <xf borderId="0" fillId="33" fontId="19" numFmtId="0" xfId="0" applyAlignment="1" applyFont="1">
      <alignment readingOrder="0" shrinkToFit="0" vertical="bottom" wrapText="1"/>
    </xf>
    <xf borderId="0" fillId="33" fontId="19" numFmtId="0" xfId="0" applyAlignment="1" applyFont="1">
      <alignment readingOrder="0" vertical="bottom"/>
    </xf>
    <xf borderId="8" fillId="33" fontId="19" numFmtId="0" xfId="0" applyAlignment="1" applyBorder="1" applyFont="1">
      <alignment readingOrder="0" vertical="bottom"/>
    </xf>
    <xf borderId="0" fillId="33" fontId="19" numFmtId="1" xfId="0" applyAlignment="1" applyFont="1" applyNumberFormat="1">
      <alignment vertical="bottom"/>
    </xf>
    <xf borderId="0" fillId="33" fontId="19" numFmtId="0" xfId="0" applyAlignment="1" applyFont="1">
      <alignment vertical="bottom"/>
    </xf>
    <xf borderId="0" fillId="0" fontId="19" numFmtId="1" xfId="0" applyAlignment="1" applyFont="1" applyNumberFormat="1">
      <alignment vertical="bottom"/>
    </xf>
    <xf borderId="0" fillId="33" fontId="30" numFmtId="0" xfId="0" applyAlignment="1" applyFont="1">
      <alignment readingOrder="0" vertical="bottom"/>
    </xf>
    <xf borderId="0" fillId="33" fontId="116" numFmtId="0" xfId="0" applyAlignment="1" applyFont="1">
      <alignment readingOrder="0" vertical="bottom"/>
    </xf>
    <xf borderId="0" fillId="34" fontId="30" numFmtId="0" xfId="0" applyAlignment="1" applyFill="1" applyFont="1">
      <alignment vertical="bottom"/>
    </xf>
    <xf borderId="0" fillId="34" fontId="19" numFmtId="0" xfId="0" applyAlignment="1" applyFont="1">
      <alignment readingOrder="0" shrinkToFit="0" vertical="bottom" wrapText="1"/>
    </xf>
    <xf borderId="0" fillId="34" fontId="19" numFmtId="0" xfId="0" applyAlignment="1" applyFont="1">
      <alignment readingOrder="0" vertical="bottom"/>
    </xf>
    <xf borderId="8" fillId="34" fontId="19" numFmtId="0" xfId="0" applyAlignment="1" applyBorder="1" applyFont="1">
      <alignment readingOrder="0" vertical="bottom"/>
    </xf>
    <xf borderId="0" fillId="34" fontId="19" numFmtId="0" xfId="0" applyAlignment="1" applyFont="1">
      <alignment vertical="bottom"/>
    </xf>
    <xf borderId="0" fillId="11" fontId="44" numFmtId="0" xfId="0" applyAlignment="1" applyFont="1">
      <alignment horizontal="left" readingOrder="0" shrinkToFit="0" wrapText="1"/>
    </xf>
    <xf borderId="0" fillId="4" fontId="19" numFmtId="0" xfId="0" applyAlignment="1" applyFont="1">
      <alignment readingOrder="0" vertical="bottom"/>
    </xf>
    <xf borderId="0" fillId="4" fontId="4" numFmtId="0" xfId="0" applyFont="1"/>
    <xf borderId="0" fillId="4" fontId="4" numFmtId="0" xfId="0" applyAlignment="1" applyFont="1">
      <alignment shrinkToFit="0" wrapText="1"/>
    </xf>
    <xf borderId="8" fillId="4" fontId="4" numFmtId="0" xfId="0" applyBorder="1" applyFont="1"/>
    <xf borderId="0" fillId="14" fontId="4" numFmtId="0" xfId="0" applyAlignment="1" applyFont="1">
      <alignment readingOrder="0"/>
    </xf>
    <xf borderId="8" fillId="14" fontId="4" numFmtId="0" xfId="0" applyAlignment="1" applyBorder="1" applyFont="1">
      <alignment readingOrder="0"/>
    </xf>
    <xf borderId="5" fillId="2" fontId="8" numFmtId="0" xfId="0" applyAlignment="1" applyBorder="1" applyFont="1">
      <alignment horizontal="center" readingOrder="0"/>
    </xf>
    <xf borderId="14" fillId="2" fontId="8" numFmtId="0" xfId="0" applyAlignment="1" applyBorder="1" applyFont="1">
      <alignment horizontal="center" readingOrder="0"/>
    </xf>
    <xf borderId="14" fillId="2" fontId="7" numFmtId="0" xfId="0" applyAlignment="1" applyBorder="1" applyFont="1">
      <alignment horizontal="center" readingOrder="0" shrinkToFit="0" wrapText="1"/>
    </xf>
    <xf borderId="38" fillId="0" fontId="19" numFmtId="0" xfId="0" applyAlignment="1" applyBorder="1" applyFont="1">
      <alignment vertical="bottom"/>
    </xf>
    <xf borderId="9" fillId="0" fontId="30" numFmtId="0" xfId="0" applyAlignment="1" applyBorder="1" applyFont="1">
      <alignment horizontal="right" vertical="bottom"/>
    </xf>
    <xf borderId="13" fillId="0" fontId="30" numFmtId="0" xfId="0" applyAlignment="1" applyBorder="1" applyFont="1">
      <alignment horizontal="right" vertical="bottom"/>
    </xf>
    <xf borderId="14" fillId="0" fontId="9" numFmtId="9" xfId="0" applyAlignment="1" applyBorder="1" applyFont="1" applyNumberFormat="1">
      <alignment horizontal="right" readingOrder="0" shrinkToFit="0" wrapText="1"/>
    </xf>
    <xf borderId="0" fillId="0" fontId="10" numFmtId="9" xfId="0" applyAlignment="1" applyFont="1" applyNumberFormat="1">
      <alignment horizontal="right" readingOrder="0"/>
    </xf>
    <xf borderId="49" fillId="0" fontId="30" numFmtId="0" xfId="0" applyAlignment="1" applyBorder="1" applyFont="1">
      <alignment horizontal="right" readingOrder="0" vertical="bottom"/>
    </xf>
    <xf borderId="50" fillId="0" fontId="9" numFmtId="9" xfId="0" applyAlignment="1" applyBorder="1" applyFont="1" applyNumberFormat="1">
      <alignment horizontal="right" readingOrder="0" shrinkToFit="0" wrapText="1"/>
    </xf>
    <xf borderId="50" fillId="0" fontId="9" numFmtId="10" xfId="0" applyAlignment="1" applyBorder="1" applyFont="1" applyNumberFormat="1">
      <alignment horizontal="right" readingOrder="0" shrinkToFit="0" wrapText="1"/>
    </xf>
    <xf borderId="49" fillId="0" fontId="4" numFmtId="0" xfId="0" applyBorder="1" applyFont="1"/>
    <xf borderId="0" fillId="0" fontId="21" numFmtId="0" xfId="0" applyAlignment="1" applyFont="1">
      <alignment horizontal="right" vertical="bottom"/>
    </xf>
    <xf borderId="0" fillId="0" fontId="29" numFmtId="0" xfId="0" applyAlignment="1" applyFont="1">
      <alignment readingOrder="0" vertical="bottom"/>
    </xf>
    <xf borderId="11" fillId="0" fontId="19" numFmtId="0" xfId="0" applyAlignment="1" applyBorder="1" applyFont="1">
      <alignment vertical="bottom"/>
    </xf>
    <xf borderId="49" fillId="0" fontId="10" numFmtId="10" xfId="0" applyAlignment="1" applyBorder="1" applyFont="1" applyNumberFormat="1">
      <alignment horizontal="right" readingOrder="0"/>
    </xf>
    <xf borderId="51" fillId="0" fontId="10" numFmtId="10" xfId="0" applyAlignment="1" applyBorder="1" applyFont="1" applyNumberFormat="1">
      <alignment horizontal="right" readingOrder="0"/>
    </xf>
    <xf borderId="0" fillId="0" fontId="117" numFmtId="0" xfId="0" applyAlignment="1" applyFont="1">
      <alignment horizontal="right" readingOrder="0"/>
    </xf>
    <xf borderId="8" fillId="2" fontId="8" numFmtId="0" xfId="0" applyAlignment="1" applyBorder="1" applyFont="1">
      <alignment horizontal="center" readingOrder="0"/>
    </xf>
    <xf borderId="0" fillId="2" fontId="91" numFmtId="0" xfId="0" applyAlignment="1" applyFont="1">
      <alignment horizontal="center" readingOrder="0" shrinkToFit="0" wrapText="1"/>
    </xf>
    <xf borderId="10" fillId="0" fontId="9" numFmtId="0" xfId="0" applyAlignment="1" applyBorder="1" applyFont="1">
      <alignment horizontal="center" readingOrder="0" shrinkToFit="0" vertical="center" wrapText="1"/>
    </xf>
    <xf borderId="11" fillId="0" fontId="9" numFmtId="0" xfId="0" applyAlignment="1" applyBorder="1" applyFont="1">
      <alignment horizontal="center" readingOrder="0" vertical="center"/>
    </xf>
    <xf borderId="27" fillId="0" fontId="9" numFmtId="0" xfId="0" applyAlignment="1" applyBorder="1" applyFont="1">
      <alignment horizontal="center" readingOrder="0" vertical="center"/>
    </xf>
    <xf borderId="10" fillId="0" fontId="9" numFmtId="0" xfId="0" applyAlignment="1" applyBorder="1" applyFont="1">
      <alignment horizontal="center" readingOrder="0" vertical="center"/>
    </xf>
    <xf borderId="12" fillId="0" fontId="9" numFmtId="0" xfId="0" applyAlignment="1" applyBorder="1" applyFont="1">
      <alignment horizontal="center" readingOrder="0" vertical="center"/>
    </xf>
    <xf borderId="14" fillId="0" fontId="9" numFmtId="0" xfId="0" applyAlignment="1" applyBorder="1" applyFont="1">
      <alignment horizontal="center" readingOrder="0" shrinkToFit="0" vertical="center" wrapText="1"/>
    </xf>
    <xf borderId="14" fillId="0" fontId="9" numFmtId="0" xfId="0" applyAlignment="1" applyBorder="1" applyFont="1">
      <alignment horizontal="center" readingOrder="0" vertical="center"/>
    </xf>
    <xf borderId="0" fillId="0" fontId="9" numFmtId="0" xfId="0" applyAlignment="1" applyFont="1">
      <alignment horizontal="center" readingOrder="0" vertical="center"/>
    </xf>
    <xf borderId="15" fillId="0" fontId="9" numFmtId="0" xfId="0" applyAlignment="1" applyBorder="1" applyFont="1">
      <alignment horizontal="center" readingOrder="0" vertical="center"/>
    </xf>
    <xf borderId="17" fillId="0" fontId="9" numFmtId="9" xfId="0" applyAlignment="1" applyBorder="1" applyFont="1" applyNumberFormat="1">
      <alignment horizontal="center" readingOrder="0" shrinkToFit="0" vertical="center" wrapText="1"/>
    </xf>
    <xf borderId="31" fillId="0" fontId="9" numFmtId="9" xfId="0" applyAlignment="1" applyBorder="1" applyFont="1" applyNumberFormat="1">
      <alignment horizontal="center" readingOrder="0" shrinkToFit="0" vertical="center" wrapText="1"/>
    </xf>
    <xf borderId="0" fillId="0" fontId="9" numFmtId="0" xfId="0" applyAlignment="1" applyFont="1">
      <alignment horizontal="center" readingOrder="0" shrinkToFit="0" vertical="center" wrapText="1"/>
    </xf>
    <xf borderId="8" fillId="0" fontId="9" numFmtId="0" xfId="0" applyAlignment="1" applyBorder="1" applyFont="1">
      <alignment horizontal="center" readingOrder="0" vertical="center"/>
    </xf>
    <xf borderId="10" fillId="0" fontId="10" numFmtId="0" xfId="0" applyAlignment="1" applyBorder="1" applyFont="1">
      <alignment horizontal="center" readingOrder="0" shrinkToFit="0" vertical="center" wrapText="1"/>
    </xf>
    <xf borderId="10" fillId="0" fontId="10" numFmtId="0" xfId="0" applyAlignment="1" applyBorder="1" applyFont="1">
      <alignment horizontal="center" readingOrder="0" vertical="center"/>
    </xf>
    <xf borderId="11" fillId="0" fontId="10" numFmtId="0" xfId="0" applyAlignment="1" applyBorder="1" applyFont="1">
      <alignment horizontal="center" readingOrder="0" vertical="center"/>
    </xf>
    <xf borderId="12" fillId="0" fontId="10" numFmtId="0" xfId="0" applyAlignment="1" applyBorder="1" applyFont="1">
      <alignment horizontal="center" readingOrder="0" vertical="center"/>
    </xf>
    <xf borderId="14" fillId="0" fontId="10" numFmtId="0" xfId="0" applyAlignment="1" applyBorder="1" applyFont="1">
      <alignment horizontal="center" readingOrder="0" shrinkToFit="0" vertical="center" wrapText="1"/>
    </xf>
    <xf borderId="14" fillId="0" fontId="10" numFmtId="0" xfId="0" applyAlignment="1" applyBorder="1" applyFont="1">
      <alignment horizontal="center" readingOrder="0" vertical="center"/>
    </xf>
    <xf borderId="0" fillId="0" fontId="10" numFmtId="0" xfId="0" applyAlignment="1" applyFont="1">
      <alignment horizontal="center" readingOrder="0" vertical="center"/>
    </xf>
    <xf borderId="15" fillId="0" fontId="10" numFmtId="0" xfId="0" applyAlignment="1" applyBorder="1" applyFont="1">
      <alignment horizontal="center" readingOrder="0" vertical="center"/>
    </xf>
    <xf borderId="17" fillId="0" fontId="10" numFmtId="0" xfId="0" applyAlignment="1" applyBorder="1" applyFont="1">
      <alignment horizontal="center" readingOrder="0" shrinkToFit="0" vertical="center" wrapText="1"/>
    </xf>
    <xf borderId="17" fillId="0" fontId="10" numFmtId="0" xfId="0" applyAlignment="1" applyBorder="1" applyFont="1">
      <alignment horizontal="center" readingOrder="0" vertical="center"/>
    </xf>
    <xf borderId="1" fillId="0" fontId="10" numFmtId="0" xfId="0" applyAlignment="1" applyBorder="1" applyFont="1">
      <alignment horizontal="center" readingOrder="0" vertical="center"/>
    </xf>
    <xf borderId="18" fillId="0" fontId="10" numFmtId="0" xfId="0" applyAlignment="1" applyBorder="1" applyFont="1">
      <alignment horizontal="center" readingOrder="0" vertical="center"/>
    </xf>
    <xf borderId="0" fillId="0" fontId="10" numFmtId="0" xfId="0" applyAlignment="1" applyFont="1">
      <alignment horizontal="center" readingOrder="0" shrinkToFit="0" vertical="center" wrapText="1"/>
    </xf>
    <xf borderId="8" fillId="0" fontId="10" numFmtId="0" xfId="0" applyAlignment="1" applyBorder="1" applyFont="1">
      <alignment horizontal="center" readingOrder="0" vertical="center"/>
    </xf>
    <xf borderId="19" fillId="0" fontId="10" numFmtId="0" xfId="0" applyAlignment="1" applyBorder="1" applyFont="1">
      <alignment horizontal="center" readingOrder="0" shrinkToFit="0" vertical="center" wrapText="1"/>
    </xf>
    <xf borderId="19" fillId="0" fontId="10" numFmtId="0" xfId="0" applyAlignment="1" applyBorder="1" applyFont="1">
      <alignment horizontal="center" readingOrder="0" vertical="center"/>
    </xf>
    <xf borderId="20" fillId="0" fontId="10" numFmtId="0" xfId="0" applyAlignment="1" applyBorder="1" applyFont="1">
      <alignment horizontal="center" readingOrder="0" vertical="center"/>
    </xf>
    <xf borderId="21" fillId="0" fontId="10" numFmtId="0" xfId="0" applyAlignment="1" applyBorder="1" applyFont="1">
      <alignment horizontal="center" readingOrder="0" vertical="center"/>
    </xf>
    <xf borderId="0" fillId="0" fontId="11" numFmtId="0" xfId="0" applyAlignment="1" applyFont="1">
      <alignment horizontal="center" readingOrder="0" shrinkToFit="0" vertical="center" wrapText="1"/>
    </xf>
    <xf borderId="0" fillId="0" fontId="11" numFmtId="0" xfId="0" applyAlignment="1" applyFont="1">
      <alignment horizontal="center" readingOrder="0" vertical="center"/>
    </xf>
    <xf borderId="8" fillId="0" fontId="11" numFmtId="0" xfId="0" applyAlignment="1" applyBorder="1" applyFont="1">
      <alignment horizontal="center" readingOrder="0" vertical="center"/>
    </xf>
    <xf borderId="0" fillId="0" fontId="12" numFmtId="0" xfId="0" applyAlignment="1" applyFont="1">
      <alignment horizontal="center" readingOrder="0" vertical="center"/>
    </xf>
    <xf borderId="0" fillId="0" fontId="13" numFmtId="0" xfId="0" applyAlignment="1" applyFont="1">
      <alignment horizontal="center" readingOrder="0" shrinkToFit="0" vertical="center" wrapText="1"/>
    </xf>
    <xf borderId="0" fillId="0" fontId="13" numFmtId="0" xfId="0" applyAlignment="1" applyFont="1">
      <alignment horizontal="center" readingOrder="0" vertical="center"/>
    </xf>
    <xf borderId="8" fillId="0" fontId="13" numFmtId="0" xfId="0" applyAlignment="1" applyBorder="1" applyFont="1">
      <alignment horizontal="center" readingOrder="0" vertical="center"/>
    </xf>
    <xf borderId="0" fillId="0" fontId="14" numFmtId="0" xfId="0" applyAlignment="1" applyFont="1">
      <alignment horizontal="center" readingOrder="0" vertical="center"/>
    </xf>
    <xf borderId="0" fillId="0" fontId="15" numFmtId="0" xfId="0" applyAlignment="1" applyFont="1">
      <alignment horizontal="center" readingOrder="0" shrinkToFit="0" vertical="center" wrapText="1"/>
    </xf>
    <xf borderId="0" fillId="0" fontId="15" numFmtId="0" xfId="0" applyAlignment="1" applyFont="1">
      <alignment horizontal="center" readingOrder="0" vertical="center"/>
    </xf>
    <xf borderId="0" fillId="0" fontId="113" numFmtId="0" xfId="0" applyAlignment="1" applyFont="1">
      <alignment horizontal="center" readingOrder="0" vertical="center"/>
    </xf>
    <xf borderId="22" fillId="0" fontId="15" numFmtId="0" xfId="0" applyAlignment="1" applyBorder="1" applyFont="1">
      <alignment horizontal="center" readingOrder="0" vertical="center"/>
    </xf>
    <xf borderId="0" fillId="0" fontId="16" numFmtId="0" xfId="0" applyAlignment="1" applyFont="1">
      <alignment horizontal="center" readingOrder="0" shrinkToFit="0" vertical="center" wrapText="1"/>
    </xf>
    <xf borderId="0" fillId="0" fontId="16" numFmtId="0" xfId="0" applyAlignment="1" applyFont="1">
      <alignment horizontal="center" vertical="center"/>
    </xf>
    <xf borderId="0" fillId="0" fontId="16" numFmtId="0" xfId="0" applyAlignment="1" applyFont="1">
      <alignment horizontal="center" readingOrder="0" vertical="center"/>
    </xf>
    <xf borderId="8" fillId="0" fontId="16" numFmtId="0" xfId="0" applyAlignment="1" applyBorder="1" applyFont="1">
      <alignment horizontal="center" readingOrder="0" vertical="center"/>
    </xf>
    <xf borderId="0" fillId="0" fontId="17" numFmtId="0" xfId="0" applyAlignment="1" applyFont="1">
      <alignment horizontal="center" readingOrder="0" vertical="center"/>
    </xf>
    <xf borderId="11" fillId="0" fontId="18" numFmtId="0" xfId="0" applyAlignment="1" applyBorder="1" applyFont="1">
      <alignment horizontal="right" readingOrder="0" shrinkToFit="0" vertical="center" wrapText="1"/>
    </xf>
    <xf borderId="11" fillId="11" fontId="118" numFmtId="0" xfId="0" applyAlignment="1" applyBorder="1" applyFont="1">
      <alignment horizontal="left" readingOrder="0" shrinkToFit="0" vertical="top" wrapText="1"/>
    </xf>
    <xf borderId="11" fillId="11" fontId="119" numFmtId="0" xfId="0" applyAlignment="1" applyBorder="1" applyFont="1">
      <alignment horizontal="left" readingOrder="0" shrinkToFit="0" vertical="top" wrapText="1"/>
    </xf>
    <xf borderId="11" fillId="0" fontId="120" numFmtId="0" xfId="0" applyAlignment="1" applyBorder="1" applyFont="1">
      <alignment shrinkToFit="0" vertical="top" wrapText="1"/>
    </xf>
    <xf borderId="30" fillId="0" fontId="19" numFmtId="0" xfId="0" applyAlignment="1" applyBorder="1" applyFont="1">
      <alignment readingOrder="0" shrinkToFit="0" vertical="top" wrapText="1"/>
    </xf>
    <xf borderId="0" fillId="4" fontId="20" numFmtId="9" xfId="0" applyAlignment="1" applyFont="1" applyNumberFormat="1">
      <alignment horizontal="center" shrinkToFit="0" vertical="center" wrapText="1"/>
    </xf>
    <xf borderId="22" fillId="4" fontId="20" numFmtId="9" xfId="0" applyAlignment="1" applyBorder="1" applyFont="1" applyNumberFormat="1">
      <alignment horizontal="center" shrinkToFit="0" vertical="center" wrapText="1"/>
    </xf>
    <xf borderId="0" fillId="5" fontId="20" numFmtId="9" xfId="0" applyAlignment="1" applyFont="1" applyNumberFormat="1">
      <alignment horizontal="center" shrinkToFit="0" vertical="center" wrapText="1"/>
    </xf>
    <xf borderId="22" fillId="5" fontId="20" numFmtId="9" xfId="0" applyAlignment="1" applyBorder="1" applyFont="1" applyNumberFormat="1">
      <alignment horizontal="center" shrinkToFit="0" vertical="center" wrapText="1"/>
    </xf>
    <xf borderId="0" fillId="6" fontId="18" numFmtId="9" xfId="0" applyAlignment="1" applyFont="1" applyNumberFormat="1">
      <alignment horizontal="center" shrinkToFit="0" vertical="center" wrapText="1"/>
    </xf>
    <xf borderId="22" fillId="6" fontId="18" numFmtId="9" xfId="0" applyAlignment="1" applyBorder="1" applyFont="1" applyNumberFormat="1">
      <alignment horizontal="center" shrinkToFit="0" vertical="center" wrapText="1"/>
    </xf>
    <xf borderId="0" fillId="7" fontId="18" numFmtId="9" xfId="0" applyAlignment="1" applyFont="1" applyNumberFormat="1">
      <alignment horizontal="center" shrinkToFit="0" vertical="center" wrapText="1"/>
    </xf>
    <xf borderId="22" fillId="7" fontId="18" numFmtId="9" xfId="0" applyAlignment="1" applyBorder="1" applyFont="1" applyNumberFormat="1">
      <alignment horizontal="center" shrinkToFit="0" vertical="center" wrapText="1"/>
    </xf>
    <xf borderId="0" fillId="8" fontId="19" numFmtId="9" xfId="0" applyAlignment="1" applyFont="1" applyNumberFormat="1">
      <alignment horizontal="center" shrinkToFit="0" vertical="center" wrapText="1"/>
    </xf>
    <xf borderId="0" fillId="8" fontId="19" numFmtId="9" xfId="0" applyAlignment="1" applyFont="1" applyNumberFormat="1">
      <alignment horizontal="center" vertical="center"/>
    </xf>
    <xf borderId="22" fillId="8" fontId="19" numFmtId="9" xfId="0" applyAlignment="1" applyBorder="1" applyFont="1" applyNumberFormat="1">
      <alignment horizontal="center" vertical="center"/>
    </xf>
    <xf borderId="0" fillId="15" fontId="18" numFmtId="0" xfId="0" applyAlignment="1" applyFont="1">
      <alignment horizontal="right" readingOrder="0" vertical="bottom"/>
    </xf>
    <xf borderId="0" fillId="15" fontId="19" numFmtId="9" xfId="0" applyAlignment="1" applyFont="1" applyNumberFormat="1">
      <alignment horizontal="center" shrinkToFit="0" vertical="center" wrapText="1"/>
    </xf>
    <xf borderId="0" fillId="15" fontId="19" numFmtId="9" xfId="0" applyAlignment="1" applyFont="1" applyNumberFormat="1">
      <alignment horizontal="center" vertical="center"/>
    </xf>
    <xf borderId="22" fillId="15" fontId="19" numFmtId="9" xfId="0" applyAlignment="1" applyBorder="1" applyFont="1" applyNumberFormat="1">
      <alignment horizontal="center" vertical="center"/>
    </xf>
    <xf borderId="0" fillId="15" fontId="34" numFmtId="9" xfId="0" applyAlignment="1" applyFont="1" applyNumberFormat="1">
      <alignment horizontal="center" shrinkToFit="0" vertical="center" wrapText="1"/>
    </xf>
    <xf borderId="0" fillId="3" fontId="34" numFmtId="9" xfId="0" applyAlignment="1" applyFont="1" applyNumberFormat="1">
      <alignment horizontal="center" shrinkToFit="0" vertical="bottom" wrapText="1"/>
    </xf>
    <xf borderId="22" fillId="3" fontId="34" numFmtId="9" xfId="0" applyAlignment="1" applyBorder="1" applyFont="1" applyNumberFormat="1">
      <alignment horizontal="center" shrinkToFit="0" vertical="bottom" wrapText="1"/>
    </xf>
    <xf borderId="0" fillId="3" fontId="34" numFmtId="0" xfId="0" applyAlignment="1" applyFont="1">
      <alignment horizontal="right" vertical="center"/>
    </xf>
    <xf borderId="0" fillId="3" fontId="34" numFmtId="9" xfId="0" applyAlignment="1" applyFont="1" applyNumberFormat="1">
      <alignment horizontal="center" readingOrder="0" shrinkToFit="0" vertical="center" wrapText="1"/>
    </xf>
    <xf borderId="0" fillId="3" fontId="34" numFmtId="9" xfId="0" applyAlignment="1" applyFont="1" applyNumberFormat="1">
      <alignment horizontal="center" shrinkToFit="0" vertical="center" wrapText="1"/>
    </xf>
    <xf borderId="22" fillId="3" fontId="34" numFmtId="9" xfId="0" applyAlignment="1" applyBorder="1" applyFont="1" applyNumberFormat="1">
      <alignment horizontal="center" shrinkToFit="0" vertical="center" wrapText="1"/>
    </xf>
    <xf borderId="0" fillId="0" fontId="19" numFmtId="9" xfId="0" applyAlignment="1" applyFont="1" applyNumberFormat="1">
      <alignment horizontal="center" vertical="center"/>
    </xf>
    <xf borderId="0" fillId="3" fontId="34" numFmtId="3" xfId="0" applyAlignment="1" applyFont="1" applyNumberFormat="1">
      <alignment horizontal="center" readingOrder="0" shrinkToFit="0" vertical="center" wrapText="1"/>
    </xf>
    <xf borderId="22" fillId="3" fontId="34" numFmtId="3" xfId="0" applyAlignment="1" applyBorder="1" applyFont="1" applyNumberFormat="1">
      <alignment horizontal="center" readingOrder="0" shrinkToFit="0" vertical="center" wrapText="1"/>
    </xf>
    <xf borderId="0" fillId="3" fontId="34" numFmtId="3" xfId="0" applyAlignment="1" applyFont="1" applyNumberFormat="1">
      <alignment horizontal="center" shrinkToFit="0" vertical="center" wrapText="1"/>
    </xf>
    <xf borderId="22" fillId="3" fontId="34" numFmtId="9" xfId="0" applyAlignment="1" applyBorder="1" applyFont="1" applyNumberFormat="1">
      <alignment horizontal="center" readingOrder="0" shrinkToFit="0" vertical="center" wrapText="1"/>
    </xf>
    <xf borderId="48" fillId="8" fontId="34" numFmtId="9" xfId="0" applyAlignment="1" applyBorder="1" applyFont="1" applyNumberFormat="1">
      <alignment horizontal="center" shrinkToFit="0" vertical="center" wrapText="1"/>
    </xf>
    <xf borderId="52" fillId="8" fontId="34" numFmtId="9" xfId="0" applyAlignment="1" applyBorder="1" applyFont="1" applyNumberFormat="1">
      <alignment horizontal="center" shrinkToFit="0" vertical="center" wrapText="1"/>
    </xf>
    <xf borderId="0" fillId="0" fontId="4" numFmtId="0" xfId="0" applyAlignment="1" applyFont="1">
      <alignment readingOrder="0" shrinkToFit="0" wrapText="1"/>
    </xf>
    <xf borderId="22" fillId="9" fontId="19" numFmtId="0" xfId="0" applyAlignment="1" applyBorder="1" applyFont="1">
      <alignment vertical="bottom"/>
    </xf>
    <xf borderId="0" fillId="0" fontId="19" numFmtId="0" xfId="0" applyAlignment="1" applyFont="1">
      <alignment horizontal="center" readingOrder="0" shrinkToFit="0" vertical="bottom" wrapText="1"/>
    </xf>
    <xf borderId="0" fillId="0" fontId="19" numFmtId="0" xfId="0" applyAlignment="1" applyFont="1">
      <alignment horizontal="center" readingOrder="0" vertical="bottom"/>
    </xf>
    <xf borderId="0" fillId="0" fontId="19" numFmtId="0" xfId="0" applyAlignment="1" applyFont="1">
      <alignment horizontal="center" vertical="bottom"/>
    </xf>
    <xf borderId="8" fillId="0" fontId="19" numFmtId="0" xfId="0" applyAlignment="1" applyBorder="1" applyFont="1">
      <alignment horizontal="center" readingOrder="0" vertical="bottom"/>
    </xf>
    <xf borderId="0" fillId="9" fontId="19" numFmtId="0" xfId="0" applyAlignment="1" applyFont="1">
      <alignment horizontal="center" shrinkToFit="0" vertical="bottom" wrapText="1"/>
    </xf>
    <xf borderId="0" fillId="9" fontId="19" numFmtId="0" xfId="0" applyAlignment="1" applyFont="1">
      <alignment horizontal="center" vertical="bottom"/>
    </xf>
    <xf borderId="8" fillId="9" fontId="19" numFmtId="0" xfId="0" applyAlignment="1" applyBorder="1" applyFont="1">
      <alignment horizontal="center" vertical="bottom"/>
    </xf>
    <xf borderId="0" fillId="11" fontId="19" numFmtId="0" xfId="0" applyAlignment="1" applyFont="1">
      <alignment horizontal="center" readingOrder="0" shrinkToFit="0" vertical="bottom" wrapText="1"/>
    </xf>
    <xf borderId="22" fillId="0" fontId="19" numFmtId="0" xfId="0" applyAlignment="1" applyBorder="1" applyFont="1">
      <alignment horizontal="center" readingOrder="0" vertical="bottom"/>
    </xf>
    <xf borderId="19" fillId="0" fontId="4" numFmtId="9" xfId="0" applyAlignment="1" applyBorder="1" applyFont="1" applyNumberFormat="1">
      <alignment horizontal="center" shrinkToFit="0" wrapText="1"/>
    </xf>
    <xf borderId="19" fillId="0" fontId="4" numFmtId="9" xfId="0" applyAlignment="1" applyBorder="1" applyFont="1" applyNumberFormat="1">
      <alignment horizontal="center" readingOrder="0"/>
    </xf>
    <xf borderId="19" fillId="0" fontId="4" numFmtId="9" xfId="0" applyAlignment="1" applyBorder="1" applyFont="1" applyNumberFormat="1">
      <alignment horizontal="center"/>
    </xf>
    <xf borderId="19" fillId="0" fontId="4" numFmtId="0" xfId="0" applyAlignment="1" applyBorder="1" applyFont="1">
      <alignment horizontal="center" readingOrder="0"/>
    </xf>
    <xf borderId="32" fillId="0" fontId="4" numFmtId="9" xfId="0" applyAlignment="1" applyBorder="1" applyFont="1" applyNumberFormat="1">
      <alignment horizontal="center" readingOrder="0"/>
    </xf>
    <xf borderId="33" fillId="0" fontId="4" numFmtId="9" xfId="0" applyAlignment="1" applyBorder="1" applyFont="1" applyNumberFormat="1">
      <alignment horizontal="center" readingOrder="0"/>
    </xf>
    <xf borderId="19" fillId="0" fontId="4" numFmtId="0" xfId="0" applyAlignment="1" applyBorder="1" applyFont="1">
      <alignment horizontal="center"/>
    </xf>
    <xf borderId="32" fillId="0" fontId="4" numFmtId="9" xfId="0" applyAlignment="1" applyBorder="1" applyFont="1" applyNumberFormat="1">
      <alignment horizontal="center"/>
    </xf>
    <xf borderId="0" fillId="0" fontId="4" numFmtId="0" xfId="0" applyAlignment="1" applyFont="1">
      <alignment horizontal="center"/>
    </xf>
    <xf borderId="8" fillId="0" fontId="4" numFmtId="0" xfId="0" applyAlignment="1" applyBorder="1" applyFont="1">
      <alignment horizontal="center"/>
    </xf>
    <xf borderId="0" fillId="11" fontId="30" numFmtId="0" xfId="0" applyAlignment="1" applyFont="1">
      <alignment horizontal="right" readingOrder="0" vertical="bottom"/>
    </xf>
    <xf borderId="0" fillId="0" fontId="4" numFmtId="0" xfId="0" applyAlignment="1" applyFont="1">
      <alignment horizontal="center" readingOrder="0" shrinkToFit="0" wrapText="1"/>
    </xf>
    <xf borderId="0" fillId="0" fontId="121" numFmtId="0" xfId="0" applyAlignment="1" applyFont="1">
      <alignment horizontal="center" readingOrder="0"/>
    </xf>
    <xf borderId="8" fillId="0" fontId="4" numFmtId="0" xfId="0" applyAlignment="1" applyBorder="1" applyFont="1">
      <alignment horizontal="center" readingOrder="0"/>
    </xf>
    <xf borderId="0" fillId="0" fontId="121" numFmtId="0" xfId="0" applyAlignment="1" applyFont="1">
      <alignment horizontal="center"/>
    </xf>
    <xf borderId="38" fillId="2" fontId="5" numFmtId="0" xfId="0" applyAlignment="1" applyBorder="1" applyFont="1">
      <alignment horizontal="center" readingOrder="0"/>
    </xf>
    <xf borderId="10" fillId="0" fontId="9" numFmtId="0" xfId="0" applyAlignment="1" applyBorder="1" applyFont="1">
      <alignment horizontal="center" readingOrder="0" shrinkToFit="0" wrapText="1"/>
    </xf>
    <xf borderId="14" fillId="0" fontId="9" numFmtId="0" xfId="0" applyAlignment="1" applyBorder="1" applyFont="1">
      <alignment horizontal="center" readingOrder="0" shrinkToFit="0" wrapText="1"/>
    </xf>
    <xf borderId="17" fillId="0" fontId="9" numFmtId="9" xfId="0" applyAlignment="1" applyBorder="1" applyFont="1" applyNumberFormat="1">
      <alignment horizontal="center" readingOrder="0" shrinkToFit="0" wrapText="1"/>
    </xf>
    <xf borderId="0" fillId="0" fontId="9" numFmtId="0" xfId="0" applyAlignment="1" applyFont="1">
      <alignment horizontal="center" readingOrder="0" shrinkToFit="0" wrapText="1"/>
    </xf>
    <xf borderId="10" fillId="0" fontId="10" numFmtId="0" xfId="0" applyAlignment="1" applyBorder="1" applyFont="1">
      <alignment horizontal="center" readingOrder="0" shrinkToFit="0" wrapText="1"/>
    </xf>
    <xf borderId="14" fillId="0" fontId="10" numFmtId="0" xfId="0" applyAlignment="1" applyBorder="1" applyFont="1">
      <alignment horizontal="center" readingOrder="0" shrinkToFit="0" wrapText="1"/>
    </xf>
    <xf borderId="17" fillId="0" fontId="10" numFmtId="0" xfId="0" applyAlignment="1" applyBorder="1" applyFont="1">
      <alignment horizontal="center" readingOrder="0" shrinkToFit="0" wrapText="1"/>
    </xf>
    <xf borderId="0" fillId="0" fontId="10" numFmtId="0" xfId="0" applyAlignment="1" applyFont="1">
      <alignment horizontal="center" readingOrder="0" shrinkToFit="0" wrapText="1"/>
    </xf>
    <xf borderId="19" fillId="0" fontId="10" numFmtId="0" xfId="0" applyAlignment="1" applyBorder="1" applyFont="1">
      <alignment horizontal="center" readingOrder="0" shrinkToFit="0" wrapText="1"/>
    </xf>
    <xf borderId="20" fillId="0" fontId="10" numFmtId="0" xfId="0" applyAlignment="1" applyBorder="1" applyFont="1">
      <alignment horizontal="center" readingOrder="0" shrinkToFit="0" wrapText="1"/>
    </xf>
    <xf borderId="33" fillId="0" fontId="10" numFmtId="0" xfId="0" applyAlignment="1" applyBorder="1" applyFont="1">
      <alignment horizontal="center" readingOrder="0" shrinkToFit="0" wrapText="1"/>
    </xf>
    <xf borderId="0" fillId="0" fontId="11" numFmtId="0" xfId="0" applyAlignment="1" applyFont="1">
      <alignment horizontal="center" readingOrder="0" shrinkToFit="0" wrapText="1"/>
    </xf>
    <xf borderId="0" fillId="0" fontId="15" numFmtId="0" xfId="0" applyAlignment="1" applyFont="1">
      <alignment horizontal="center" readingOrder="0" shrinkToFit="0" wrapText="1"/>
    </xf>
    <xf borderId="0" fillId="0" fontId="16" numFmtId="0" xfId="0" applyAlignment="1" applyFont="1">
      <alignment horizontal="center"/>
    </xf>
    <xf borderId="11" fillId="0" fontId="122" numFmtId="0" xfId="0" applyAlignment="1" applyBorder="1" applyFont="1">
      <alignment horizontal="right" readingOrder="0" shrinkToFit="0" vertical="center" wrapText="1"/>
    </xf>
    <xf borderId="11" fillId="17" fontId="123" numFmtId="0" xfId="0" applyAlignment="1" applyBorder="1" applyFont="1">
      <alignment horizontal="center" readingOrder="0" shrinkToFit="0" vertical="center" wrapText="1"/>
    </xf>
    <xf borderId="11" fillId="18" fontId="36" numFmtId="0" xfId="0" applyAlignment="1" applyBorder="1" applyFont="1">
      <alignment horizontal="center" readingOrder="0" shrinkToFit="0" vertical="center" wrapText="1"/>
    </xf>
    <xf borderId="11" fillId="18" fontId="123" numFmtId="0" xfId="0" applyAlignment="1" applyBorder="1" applyFont="1">
      <alignment horizontal="center" readingOrder="0" shrinkToFit="0" vertical="center" wrapText="1"/>
    </xf>
    <xf borderId="11" fillId="17" fontId="36" numFmtId="0" xfId="0" applyAlignment="1" applyBorder="1" applyFont="1">
      <alignment horizontal="center" readingOrder="0" shrinkToFit="0" vertical="center" wrapText="1"/>
    </xf>
    <xf borderId="11" fillId="0" fontId="36" numFmtId="0" xfId="0" applyAlignment="1" applyBorder="1" applyFont="1">
      <alignment horizontal="center" readingOrder="0" shrinkToFit="0" vertical="center" wrapText="1"/>
    </xf>
    <xf borderId="0" fillId="3" fontId="124" numFmtId="0" xfId="0" applyAlignment="1" applyFont="1">
      <alignment horizontal="right" readingOrder="0" vertical="bottom"/>
    </xf>
    <xf borderId="0" fillId="3" fontId="20" numFmtId="9" xfId="0" applyAlignment="1" applyFont="1" applyNumberFormat="1">
      <alignment horizontal="center" readingOrder="0" shrinkToFit="0" wrapText="1"/>
    </xf>
    <xf borderId="0" fillId="4" fontId="125" numFmtId="0" xfId="0" applyAlignment="1" applyFont="1">
      <alignment horizontal="right" readingOrder="0"/>
    </xf>
    <xf borderId="0" fillId="4" fontId="20" numFmtId="9" xfId="0" applyAlignment="1" applyFont="1" applyNumberFormat="1">
      <alignment horizontal="center" shrinkToFit="0" wrapText="1"/>
    </xf>
    <xf borderId="0" fillId="5" fontId="125" numFmtId="0" xfId="0" applyAlignment="1" applyFont="1">
      <alignment horizontal="right" readingOrder="0"/>
    </xf>
    <xf borderId="0" fillId="5" fontId="20" numFmtId="9" xfId="0" applyAlignment="1" applyFont="1" applyNumberFormat="1">
      <alignment horizontal="center" shrinkToFit="0" wrapText="1"/>
    </xf>
    <xf borderId="0" fillId="6" fontId="124" numFmtId="0" xfId="0" applyAlignment="1" applyFont="1">
      <alignment horizontal="right" vertical="bottom"/>
    </xf>
    <xf borderId="0" fillId="6" fontId="18" numFmtId="9" xfId="0" applyAlignment="1" applyFont="1" applyNumberFormat="1">
      <alignment horizontal="center" shrinkToFit="0" vertical="bottom" wrapText="1"/>
    </xf>
    <xf borderId="0" fillId="7" fontId="124" numFmtId="0" xfId="0" applyAlignment="1" applyFont="1">
      <alignment horizontal="right" readingOrder="0" vertical="bottom"/>
    </xf>
    <xf borderId="0" fillId="7" fontId="18" numFmtId="9" xfId="0" applyAlignment="1" applyFont="1" applyNumberFormat="1">
      <alignment horizontal="center" shrinkToFit="0" vertical="bottom" wrapText="1"/>
    </xf>
    <xf borderId="0" fillId="8" fontId="124" numFmtId="0" xfId="0" applyAlignment="1" applyFont="1">
      <alignment horizontal="right" vertical="bottom"/>
    </xf>
    <xf borderId="0" fillId="3" fontId="126" numFmtId="0" xfId="0" applyAlignment="1" applyFont="1">
      <alignment horizontal="right" vertical="bottom"/>
    </xf>
    <xf borderId="0" fillId="3" fontId="34" numFmtId="9" xfId="0" applyAlignment="1" applyFont="1" applyNumberFormat="1">
      <alignment horizontal="center" readingOrder="0" shrinkToFit="0" vertical="bottom" wrapText="1"/>
    </xf>
    <xf borderId="0" fillId="3" fontId="101" numFmtId="0" xfId="0" applyAlignment="1" applyFont="1">
      <alignment horizontal="right" shrinkToFit="0" vertical="bottom" wrapText="1"/>
    </xf>
    <xf borderId="48" fillId="3" fontId="126" numFmtId="0" xfId="0" applyAlignment="1" applyBorder="1" applyFont="1">
      <alignment horizontal="right" vertical="bottom"/>
    </xf>
    <xf borderId="48" fillId="8" fontId="34" numFmtId="9" xfId="0" applyAlignment="1" applyBorder="1" applyFont="1" applyNumberFormat="1">
      <alignment horizontal="center" shrinkToFit="0" vertical="bottom" wrapText="1"/>
    </xf>
    <xf borderId="48" fillId="0" fontId="19" numFmtId="0" xfId="0" applyAlignment="1" applyBorder="1" applyFont="1">
      <alignment vertical="bottom"/>
    </xf>
    <xf borderId="0" fillId="27" fontId="19" numFmtId="0" xfId="0" applyAlignment="1" applyFont="1">
      <alignment horizontal="center" readingOrder="0" shrinkToFit="0" vertical="bottom" wrapText="1"/>
    </xf>
    <xf borderId="1" fillId="10" fontId="10" numFmtId="0" xfId="0" applyAlignment="1" applyBorder="1" applyFont="1">
      <alignment horizontal="right" readingOrder="0"/>
    </xf>
    <xf borderId="0" fillId="27" fontId="19" numFmtId="0" xfId="0" applyAlignment="1" applyFont="1">
      <alignment horizontal="center" readingOrder="0" vertical="bottom"/>
    </xf>
    <xf borderId="0" fillId="0" fontId="4" numFmtId="10" xfId="0" applyAlignment="1" applyFont="1" applyNumberFormat="1">
      <alignment readingOrder="0"/>
    </xf>
    <xf borderId="33" fillId="0" fontId="19" numFmtId="0" xfId="0" applyAlignment="1" applyBorder="1" applyFont="1">
      <alignment readingOrder="0" vertical="bottom"/>
    </xf>
    <xf borderId="10" fillId="0" fontId="19" numFmtId="0" xfId="0" applyAlignment="1" applyBorder="1" applyFont="1">
      <alignment readingOrder="0" vertical="bottom"/>
    </xf>
    <xf borderId="33" fillId="0" fontId="19" numFmtId="0" xfId="0" applyAlignment="1" applyBorder="1" applyFont="1">
      <alignment vertical="bottom"/>
    </xf>
    <xf borderId="10" fillId="9" fontId="30" numFmtId="0" xfId="0" applyAlignment="1" applyBorder="1" applyFont="1">
      <alignment vertical="bottom"/>
    </xf>
    <xf borderId="14" fillId="0" fontId="19" numFmtId="0" xfId="0" applyAlignment="1" applyBorder="1" applyFont="1">
      <alignment horizontal="center" vertical="bottom"/>
    </xf>
    <xf borderId="9" fillId="0" fontId="19" numFmtId="0" xfId="0" applyAlignment="1" applyBorder="1" applyFont="1">
      <alignment horizontal="center" vertical="bottom"/>
    </xf>
    <xf borderId="27" fillId="0" fontId="19" numFmtId="0" xfId="0" applyAlignment="1" applyBorder="1" applyFont="1">
      <alignment horizontal="center" vertical="bottom"/>
    </xf>
    <xf borderId="10" fillId="0" fontId="19" numFmtId="0" xfId="0" applyAlignment="1" applyBorder="1" applyFont="1">
      <alignment horizontal="center" vertical="bottom"/>
    </xf>
    <xf borderId="14" fillId="9" fontId="30" numFmtId="0" xfId="0" applyAlignment="1" applyBorder="1" applyFont="1">
      <alignment vertical="bottom"/>
    </xf>
    <xf borderId="13" fillId="0" fontId="19" numFmtId="0" xfId="0" applyAlignment="1" applyBorder="1" applyFont="1">
      <alignment horizontal="center" vertical="bottom"/>
    </xf>
    <xf borderId="28" fillId="0" fontId="19" numFmtId="0" xfId="0" applyAlignment="1" applyBorder="1" applyFont="1">
      <alignment horizontal="center" vertical="bottom"/>
    </xf>
    <xf borderId="10" fillId="18" fontId="30" numFmtId="0" xfId="0" applyAlignment="1" applyBorder="1" applyFont="1">
      <alignment readingOrder="0" vertical="bottom"/>
    </xf>
    <xf borderId="17" fillId="18" fontId="30" numFmtId="0" xfId="0" applyAlignment="1" applyBorder="1" applyFont="1">
      <alignment vertical="bottom"/>
    </xf>
    <xf borderId="14" fillId="16" fontId="30" numFmtId="0" xfId="0" applyAlignment="1" applyBorder="1" applyFont="1">
      <alignment vertical="bottom"/>
    </xf>
    <xf borderId="14" fillId="16" fontId="30" numFmtId="0" xfId="0" applyAlignment="1" applyBorder="1" applyFont="1">
      <alignment readingOrder="0" vertical="bottom"/>
    </xf>
    <xf borderId="17" fillId="16" fontId="30" numFmtId="0" xfId="0" applyAlignment="1" applyBorder="1" applyFont="1">
      <alignment readingOrder="0" vertical="bottom"/>
    </xf>
    <xf borderId="17" fillId="0" fontId="19" numFmtId="0" xfId="0" applyAlignment="1" applyBorder="1" applyFont="1">
      <alignment horizontal="center" vertical="bottom"/>
    </xf>
    <xf borderId="16" fillId="0" fontId="19" numFmtId="0" xfId="0" applyAlignment="1" applyBorder="1" applyFont="1">
      <alignment horizontal="center" vertical="bottom"/>
    </xf>
    <xf borderId="29" fillId="0" fontId="19" numFmtId="0" xfId="0" applyAlignment="1" applyBorder="1" applyFont="1">
      <alignment horizontal="center" vertical="bottom"/>
    </xf>
    <xf borderId="11" fillId="5" fontId="19" numFmtId="0" xfId="0" applyAlignment="1" applyBorder="1" applyFont="1">
      <alignment readingOrder="0" shrinkToFit="0" vertical="top" wrapText="1"/>
    </xf>
    <xf borderId="0" fillId="8" fontId="20" numFmtId="9" xfId="0" applyAlignment="1" applyFont="1" applyNumberFormat="1">
      <alignment horizontal="right" readingOrder="0" shrinkToFit="0" wrapText="1"/>
    </xf>
    <xf borderId="53" fillId="9" fontId="21" numFmtId="0" xfId="0" applyAlignment="1" applyBorder="1" applyFont="1">
      <alignment horizontal="right" readingOrder="0" vertical="bottom"/>
    </xf>
    <xf borderId="53" fillId="9" fontId="19" numFmtId="0" xfId="0" applyAlignment="1" applyBorder="1" applyFont="1">
      <alignment vertical="bottom"/>
    </xf>
    <xf borderId="53" fillId="0" fontId="19" numFmtId="0" xfId="0" applyAlignment="1" applyBorder="1" applyFont="1">
      <alignment vertical="bottom"/>
    </xf>
    <xf borderId="0" fillId="9" fontId="19" numFmtId="0" xfId="0" applyAlignment="1" applyFont="1">
      <alignment vertical="bottom"/>
    </xf>
    <xf borderId="22" fillId="9" fontId="19" numFmtId="0" xfId="0" applyAlignment="1" applyBorder="1" applyFont="1">
      <alignment vertical="bottom"/>
    </xf>
    <xf borderId="0" fillId="9" fontId="19" numFmtId="0" xfId="0" applyAlignment="1" applyFont="1">
      <alignment vertical="bottom"/>
    </xf>
    <xf borderId="0" fillId="10" fontId="10" numFmtId="0" xfId="0" applyAlignment="1" applyFont="1">
      <alignment horizontal="right" vertical="bottom"/>
    </xf>
    <xf borderId="22" fillId="0" fontId="19" numFmtId="0" xfId="0" applyAlignment="1" applyBorder="1" applyFont="1">
      <alignment readingOrder="0" vertical="bottom"/>
    </xf>
    <xf borderId="8" fillId="0" fontId="19" numFmtId="0" xfId="0" applyAlignment="1" applyBorder="1" applyFont="1">
      <alignment readingOrder="0" vertical="bottom"/>
    </xf>
    <xf borderId="0" fillId="0" fontId="3" numFmtId="0" xfId="0" applyAlignment="1" applyFont="1">
      <alignment horizontal="center" readingOrder="0" vertical="center"/>
    </xf>
    <xf borderId="3" fillId="2" fontId="5" numFmtId="0" xfId="0" applyAlignment="1" applyBorder="1" applyFont="1">
      <alignment horizontal="center" readingOrder="0" shrinkToFit="0" wrapText="1"/>
    </xf>
    <xf borderId="54" fillId="0" fontId="6" numFmtId="0" xfId="0" applyBorder="1" applyFont="1"/>
    <xf borderId="5" fillId="2" fontId="5" numFmtId="0" xfId="0" applyAlignment="1" applyBorder="1" applyFont="1">
      <alignment horizontal="center" readingOrder="0" vertical="center"/>
    </xf>
    <xf borderId="55" fillId="2" fontId="5" numFmtId="0" xfId="0" applyAlignment="1" applyBorder="1" applyFont="1">
      <alignment horizontal="center" readingOrder="0"/>
    </xf>
    <xf borderId="56" fillId="2" fontId="5" numFmtId="0" xfId="0" applyAlignment="1" applyBorder="1" applyFont="1">
      <alignment horizontal="center" readingOrder="0" shrinkToFit="0" wrapText="1"/>
    </xf>
    <xf borderId="24" fillId="2" fontId="4" numFmtId="0" xfId="0" applyAlignment="1" applyBorder="1" applyFont="1">
      <alignment horizontal="center" readingOrder="0" vertical="center"/>
    </xf>
    <xf borderId="57" fillId="2" fontId="5" numFmtId="0" xfId="0" applyAlignment="1" applyBorder="1" applyFont="1">
      <alignment horizontal="center" readingOrder="0"/>
    </xf>
    <xf borderId="8" fillId="2" fontId="5" numFmtId="0" xfId="0" applyAlignment="1" applyBorder="1" applyFont="1">
      <alignment horizontal="center" readingOrder="0" shrinkToFit="0" vertical="center" wrapText="1"/>
    </xf>
    <xf borderId="8" fillId="2" fontId="5" numFmtId="0" xfId="0" applyAlignment="1" applyBorder="1" applyFont="1">
      <alignment horizontal="center" readingOrder="0" shrinkToFit="0" wrapText="1"/>
    </xf>
    <xf borderId="0" fillId="2" fontId="127" numFmtId="0" xfId="0" applyAlignment="1" applyFont="1">
      <alignment horizontal="center" readingOrder="0" shrinkToFit="0" vertical="center" wrapText="1"/>
    </xf>
    <xf borderId="22" fillId="2" fontId="128" numFmtId="0" xfId="0" applyAlignment="1" applyBorder="1" applyFont="1">
      <alignment horizontal="center" readingOrder="0" shrinkToFit="0" vertical="center" wrapText="1"/>
    </xf>
    <xf borderId="8" fillId="2" fontId="129" numFmtId="0" xfId="0" applyAlignment="1" applyBorder="1" applyFont="1">
      <alignment horizontal="center" readingOrder="0" shrinkToFit="0" vertical="center" wrapText="1"/>
    </xf>
    <xf borderId="22" fillId="2" fontId="130" numFmtId="0" xfId="0" applyAlignment="1" applyBorder="1" applyFont="1">
      <alignment horizontal="center" readingOrder="0" shrinkToFit="0" wrapText="1"/>
    </xf>
    <xf borderId="0" fillId="2" fontId="131" numFmtId="0" xfId="0" applyAlignment="1" applyFont="1">
      <alignment horizontal="center" readingOrder="0" shrinkToFit="0" wrapText="1"/>
    </xf>
    <xf borderId="8" fillId="2" fontId="132" numFmtId="0" xfId="0" applyAlignment="1" applyBorder="1" applyFont="1">
      <alignment horizontal="center" readingOrder="0" shrinkToFit="0" wrapText="1"/>
    </xf>
    <xf borderId="8" fillId="0" fontId="4" numFmtId="0" xfId="0" applyAlignment="1" applyBorder="1" applyFont="1">
      <alignment horizontal="center" vertical="center"/>
    </xf>
    <xf borderId="0" fillId="11" fontId="133" numFmtId="0" xfId="0" applyAlignment="1" applyFont="1">
      <alignment shrinkToFit="0" wrapText="0"/>
    </xf>
    <xf borderId="30" fillId="0" fontId="9" numFmtId="0" xfId="0" applyAlignment="1" applyBorder="1" applyFont="1">
      <alignment horizontal="right" readingOrder="0"/>
    </xf>
    <xf borderId="23" fillId="0" fontId="9" numFmtId="0" xfId="0" applyAlignment="1" applyBorder="1" applyFont="1">
      <alignment horizontal="center" readingOrder="0" vertical="center"/>
    </xf>
    <xf borderId="10" fillId="0" fontId="6" numFmtId="0" xfId="0" applyBorder="1" applyFont="1"/>
    <xf borderId="14" fillId="0" fontId="6" numFmtId="0" xfId="0" applyBorder="1" applyFont="1"/>
    <xf borderId="8" fillId="0" fontId="9" numFmtId="0" xfId="0" applyAlignment="1" applyBorder="1" applyFont="1">
      <alignment horizontal="center" readingOrder="0" shrinkToFit="0" vertical="center" wrapText="1"/>
    </xf>
    <xf borderId="15" fillId="0" fontId="9" numFmtId="0" xfId="0" applyAlignment="1" applyBorder="1" applyFont="1">
      <alignment horizontal="right" readingOrder="0" shrinkToFit="0" wrapText="1"/>
    </xf>
    <xf borderId="47" fillId="0" fontId="9" numFmtId="9" xfId="0" applyAlignment="1" applyBorder="1" applyFont="1" applyNumberFormat="1">
      <alignment horizontal="center" readingOrder="0" shrinkToFit="0" vertical="center" wrapText="1"/>
    </xf>
    <xf borderId="30" fillId="0" fontId="10" numFmtId="0" xfId="0" applyAlignment="1" applyBorder="1" applyFont="1">
      <alignment horizontal="right" readingOrder="0"/>
    </xf>
    <xf borderId="23" fillId="0" fontId="10" numFmtId="0" xfId="0" applyAlignment="1" applyBorder="1" applyFont="1">
      <alignment horizontal="center" readingOrder="0" vertical="center"/>
    </xf>
    <xf borderId="31" fillId="0" fontId="10" numFmtId="0" xfId="0" applyAlignment="1" applyBorder="1" applyFont="1">
      <alignment horizontal="right" readingOrder="0"/>
    </xf>
    <xf borderId="47" fillId="0" fontId="10" numFmtId="0" xfId="0" applyAlignment="1" applyBorder="1" applyFont="1">
      <alignment horizontal="center" readingOrder="0" vertical="center"/>
    </xf>
    <xf borderId="38" fillId="0" fontId="10" numFmtId="0" xfId="0" applyAlignment="1" applyBorder="1" applyFont="1">
      <alignment horizontal="right" readingOrder="0"/>
    </xf>
    <xf borderId="32" fillId="0" fontId="10" numFmtId="0" xfId="0" applyAlignment="1" applyBorder="1" applyFont="1">
      <alignment horizontal="right" readingOrder="0"/>
    </xf>
    <xf borderId="58" fillId="0" fontId="10" numFmtId="0" xfId="0" applyAlignment="1" applyBorder="1" applyFont="1">
      <alignment horizontal="center" readingOrder="0" vertical="center"/>
    </xf>
    <xf borderId="22" fillId="0" fontId="11" numFmtId="0" xfId="0" applyAlignment="1" applyBorder="1" applyFont="1">
      <alignment horizontal="right" readingOrder="0"/>
    </xf>
    <xf borderId="22" fillId="0" fontId="13" numFmtId="0" xfId="0" applyAlignment="1" applyBorder="1" applyFont="1">
      <alignment horizontal="right" readingOrder="0"/>
    </xf>
    <xf borderId="8" fillId="0" fontId="15" numFmtId="0" xfId="0" applyAlignment="1" applyBorder="1" applyFont="1">
      <alignment horizontal="center" readingOrder="0" vertical="center"/>
    </xf>
    <xf borderId="22" fillId="0" fontId="16" numFmtId="0" xfId="0" applyAlignment="1" applyBorder="1" applyFont="1">
      <alignment readingOrder="0"/>
    </xf>
    <xf borderId="11" fillId="0" fontId="18" numFmtId="0" xfId="0" applyAlignment="1" applyBorder="1" applyFont="1">
      <alignment horizontal="center" readingOrder="0" shrinkToFit="0" vertical="center" wrapText="1"/>
    </xf>
    <xf borderId="23" fillId="0" fontId="19" numFmtId="0" xfId="0" applyAlignment="1" applyBorder="1" applyFont="1">
      <alignment horizontal="center" readingOrder="0" shrinkToFit="0" vertical="center" wrapText="1"/>
    </xf>
    <xf borderId="11" fillId="0" fontId="6" numFmtId="0" xfId="0" applyBorder="1" applyFont="1"/>
    <xf borderId="0" fillId="3" fontId="134" numFmtId="0" xfId="0" applyAlignment="1" applyFont="1">
      <alignment horizontal="right" readingOrder="0" vertical="bottom"/>
    </xf>
    <xf borderId="8" fillId="3" fontId="20" numFmtId="9" xfId="0" applyAlignment="1" applyBorder="1" applyFont="1" applyNumberFormat="1">
      <alignment horizontal="center" readingOrder="0" shrinkToFit="0" vertical="center" wrapText="1"/>
    </xf>
    <xf borderId="22" fillId="3" fontId="20" numFmtId="9" xfId="0" applyAlignment="1" applyBorder="1" applyFont="1" applyNumberFormat="1">
      <alignment horizontal="right" shrinkToFit="0" wrapText="1"/>
    </xf>
    <xf borderId="8" fillId="3" fontId="20" numFmtId="9" xfId="0" applyAlignment="1" applyBorder="1" applyFont="1" applyNumberFormat="1">
      <alignment horizontal="right" shrinkToFit="0" wrapText="1"/>
    </xf>
    <xf borderId="0" fillId="4" fontId="135" numFmtId="0" xfId="0" applyAlignment="1" applyFont="1">
      <alignment horizontal="right" readingOrder="0"/>
    </xf>
    <xf borderId="8" fillId="4" fontId="20" numFmtId="9" xfId="0" applyAlignment="1" applyBorder="1" applyFont="1" applyNumberFormat="1">
      <alignment horizontal="center" shrinkToFit="0" vertical="center" wrapText="1"/>
    </xf>
    <xf borderId="8" fillId="4" fontId="20" numFmtId="9" xfId="0" applyAlignment="1" applyBorder="1" applyFont="1" applyNumberFormat="1">
      <alignment horizontal="right" shrinkToFit="0" wrapText="1"/>
    </xf>
    <xf borderId="0" fillId="5" fontId="135" numFmtId="0" xfId="0" applyAlignment="1" applyFont="1">
      <alignment horizontal="right" readingOrder="0"/>
    </xf>
    <xf borderId="8" fillId="5" fontId="20" numFmtId="9" xfId="0" applyAlignment="1" applyBorder="1" applyFont="1" applyNumberFormat="1">
      <alignment horizontal="center" shrinkToFit="0" vertical="center" wrapText="1"/>
    </xf>
    <xf borderId="8" fillId="5" fontId="20" numFmtId="9" xfId="0" applyAlignment="1" applyBorder="1" applyFont="1" applyNumberFormat="1">
      <alignment horizontal="right" shrinkToFit="0" wrapText="1"/>
    </xf>
    <xf borderId="0" fillId="6" fontId="134" numFmtId="0" xfId="0" applyAlignment="1" applyFont="1">
      <alignment horizontal="right" vertical="bottom"/>
    </xf>
    <xf borderId="8" fillId="6" fontId="18" numFmtId="9" xfId="0" applyAlignment="1" applyBorder="1" applyFont="1" applyNumberFormat="1">
      <alignment horizontal="center" shrinkToFit="0" vertical="center" wrapText="1"/>
    </xf>
    <xf borderId="0" fillId="7" fontId="134" numFmtId="0" xfId="0" applyAlignment="1" applyFont="1">
      <alignment horizontal="right" readingOrder="0" vertical="bottom"/>
    </xf>
    <xf borderId="8" fillId="7" fontId="18" numFmtId="9" xfId="0" applyAlignment="1" applyBorder="1" applyFont="1" applyNumberFormat="1">
      <alignment horizontal="center" shrinkToFit="0" vertical="center" wrapText="1"/>
    </xf>
    <xf borderId="0" fillId="13" fontId="134" numFmtId="0" xfId="0" applyAlignment="1" applyFont="1">
      <alignment horizontal="right" readingOrder="0" vertical="bottom"/>
    </xf>
    <xf borderId="0" fillId="13" fontId="18" numFmtId="10" xfId="0" applyAlignment="1" applyFont="1" applyNumberFormat="1">
      <alignment horizontal="right" readingOrder="0" shrinkToFit="0" vertical="bottom" wrapText="1"/>
    </xf>
    <xf borderId="22" fillId="13" fontId="18" numFmtId="10" xfId="0" applyAlignment="1" applyBorder="1" applyFont="1" applyNumberFormat="1">
      <alignment horizontal="right" readingOrder="0" shrinkToFit="0" vertical="bottom" wrapText="1"/>
    </xf>
    <xf borderId="8" fillId="13" fontId="18" numFmtId="10" xfId="0" applyAlignment="1" applyBorder="1" applyFont="1" applyNumberFormat="1">
      <alignment horizontal="center" readingOrder="0" shrinkToFit="0" vertical="center" wrapText="1"/>
    </xf>
    <xf borderId="8" fillId="13" fontId="18" numFmtId="10" xfId="0" applyAlignment="1" applyBorder="1" applyFont="1" applyNumberFormat="1">
      <alignment horizontal="right" readingOrder="0" shrinkToFit="0" vertical="bottom" wrapText="1"/>
    </xf>
    <xf borderId="0" fillId="8" fontId="134" numFmtId="0" xfId="0" applyAlignment="1" applyFont="1">
      <alignment horizontal="right" vertical="bottom"/>
    </xf>
    <xf borderId="8" fillId="8" fontId="19" numFmtId="9" xfId="0" applyAlignment="1" applyBorder="1" applyFont="1" applyNumberFormat="1">
      <alignment horizontal="center" vertical="center"/>
    </xf>
    <xf borderId="0" fillId="3" fontId="136" numFmtId="0" xfId="0" applyAlignment="1" applyFont="1">
      <alignment horizontal="right" vertical="bottom"/>
    </xf>
    <xf borderId="22" fillId="3" fontId="34" numFmtId="10" xfId="0" applyAlignment="1" applyBorder="1" applyFont="1" applyNumberFormat="1">
      <alignment horizontal="right" readingOrder="0" shrinkToFit="0" vertical="bottom" wrapText="1"/>
    </xf>
    <xf borderId="8" fillId="3" fontId="34" numFmtId="10" xfId="0" applyAlignment="1" applyBorder="1" applyFont="1" applyNumberFormat="1">
      <alignment horizontal="center" readingOrder="0" shrinkToFit="0" vertical="center" wrapText="1"/>
    </xf>
    <xf borderId="8" fillId="3" fontId="34" numFmtId="10" xfId="0" applyAlignment="1" applyBorder="1" applyFont="1" applyNumberFormat="1">
      <alignment horizontal="right" readingOrder="0" shrinkToFit="0" vertical="bottom" wrapText="1"/>
    </xf>
    <xf borderId="0" fillId="3" fontId="136" numFmtId="0" xfId="0" applyAlignment="1" applyFont="1">
      <alignment horizontal="right" shrinkToFit="0" vertical="bottom" wrapText="1"/>
    </xf>
    <xf borderId="8" fillId="3" fontId="34" numFmtId="9" xfId="0" applyAlignment="1" applyBorder="1" applyFont="1" applyNumberFormat="1">
      <alignment horizontal="center" readingOrder="0" shrinkToFit="0" vertical="center" wrapText="1"/>
    </xf>
    <xf borderId="8" fillId="3" fontId="34" numFmtId="9" xfId="0" applyAlignment="1" applyBorder="1" applyFont="1" applyNumberFormat="1">
      <alignment horizontal="right" readingOrder="0" shrinkToFit="0" vertical="bottom" wrapText="1"/>
    </xf>
    <xf borderId="48" fillId="3" fontId="136" numFmtId="0" xfId="0" applyAlignment="1" applyBorder="1" applyFont="1">
      <alignment horizontal="right" vertical="bottom"/>
    </xf>
    <xf borderId="52" fillId="8" fontId="34" numFmtId="9" xfId="0" applyAlignment="1" applyBorder="1" applyFont="1" applyNumberFormat="1">
      <alignment horizontal="right" shrinkToFit="0" vertical="bottom" wrapText="1"/>
    </xf>
    <xf borderId="59" fillId="8" fontId="34" numFmtId="9" xfId="0" applyAlignment="1" applyBorder="1" applyFont="1" applyNumberFormat="1">
      <alignment horizontal="center" shrinkToFit="0" vertical="center" wrapText="1"/>
    </xf>
    <xf borderId="48" fillId="0" fontId="6" numFmtId="0" xfId="0" applyBorder="1" applyFont="1"/>
    <xf borderId="59" fillId="8" fontId="34" numFmtId="9" xfId="0" applyAlignment="1" applyBorder="1" applyFont="1" applyNumberFormat="1">
      <alignment horizontal="right" shrinkToFit="0" vertical="bottom" wrapText="1"/>
    </xf>
    <xf borderId="8" fillId="9" fontId="19" numFmtId="0" xfId="0" applyAlignment="1" applyBorder="1" applyFont="1">
      <alignment horizontal="center" vertical="center"/>
    </xf>
    <xf borderId="8" fillId="0" fontId="19" numFmtId="0" xfId="0" applyAlignment="1" applyBorder="1" applyFont="1">
      <alignment horizontal="center" readingOrder="0" vertical="center"/>
    </xf>
    <xf borderId="0" fillId="13" fontId="5" numFmtId="0" xfId="0" applyAlignment="1" applyFont="1">
      <alignment readingOrder="0"/>
    </xf>
    <xf borderId="22" fillId="13" fontId="19" numFmtId="0" xfId="0" applyAlignment="1" applyBorder="1" applyFont="1">
      <alignment vertical="bottom"/>
    </xf>
    <xf borderId="8" fillId="13" fontId="19" numFmtId="0" xfId="0" applyAlignment="1" applyBorder="1" applyFont="1">
      <alignment horizontal="center" vertical="center"/>
    </xf>
    <xf borderId="8" fillId="13" fontId="19" numFmtId="0" xfId="0" applyAlignment="1" applyBorder="1" applyFont="1">
      <alignment vertical="bottom"/>
    </xf>
    <xf borderId="22" fillId="13" fontId="19" numFmtId="0" xfId="0" applyAlignment="1" applyBorder="1" applyFont="1">
      <alignment readingOrder="0" vertical="bottom"/>
    </xf>
    <xf borderId="8" fillId="13" fontId="19" numFmtId="0" xfId="0" applyAlignment="1" applyBorder="1" applyFont="1">
      <alignment horizontal="center" readingOrder="0" vertical="center"/>
    </xf>
    <xf borderId="22" fillId="0" fontId="4" numFmtId="0" xfId="0" applyAlignment="1" applyBorder="1" applyFont="1">
      <alignment readingOrder="0"/>
    </xf>
    <xf borderId="8" fillId="0" fontId="4" numFmtId="0" xfId="0" applyAlignment="1" applyBorder="1" applyFont="1">
      <alignment horizontal="center" readingOrder="0" vertical="center"/>
    </xf>
    <xf borderId="0" fillId="0" fontId="137" numFmtId="49" xfId="0" applyAlignment="1" applyFont="1" applyNumberFormat="1">
      <alignment vertical="bottom"/>
    </xf>
    <xf borderId="0" fillId="0" fontId="137" numFmtId="165" xfId="0" applyAlignment="1" applyFont="1" applyNumberFormat="1">
      <alignment vertical="bottom"/>
    </xf>
    <xf borderId="0" fillId="0" fontId="137" numFmtId="0" xfId="0" applyAlignment="1" applyFont="1">
      <alignment horizontal="left" readingOrder="0" vertical="bottom"/>
    </xf>
    <xf borderId="0" fillId="0" fontId="137" numFmtId="0" xfId="0" applyAlignment="1" applyFont="1">
      <alignment vertical="bottom"/>
    </xf>
    <xf borderId="0" fillId="0" fontId="137" numFmtId="0" xfId="0" applyAlignment="1" applyFont="1">
      <alignment readingOrder="0" vertical="bottom"/>
    </xf>
    <xf borderId="0" fillId="0" fontId="137" numFmtId="9" xfId="0" applyAlignment="1" applyFont="1" applyNumberFormat="1">
      <alignment horizontal="left" readingOrder="0" vertical="bottom"/>
    </xf>
    <xf borderId="0" fillId="11" fontId="138" numFmtId="9" xfId="0" applyFont="1" applyNumberFormat="1"/>
    <xf borderId="0" fillId="0" fontId="4" numFmtId="166" xfId="0" applyAlignment="1" applyFont="1" applyNumberFormat="1">
      <alignment readingOrder="0"/>
    </xf>
    <xf borderId="0" fillId="0" fontId="4" numFmtId="9" xfId="0" applyFont="1" applyNumberFormat="1"/>
    <xf borderId="0" fillId="0" fontId="4" numFmtId="166" xfId="0" applyFont="1" applyNumberFormat="1"/>
    <xf borderId="0" fillId="35" fontId="4" numFmtId="166" xfId="0" applyAlignment="1" applyFill="1" applyFont="1" applyNumberFormat="1">
      <alignment readingOrder="0"/>
    </xf>
    <xf borderId="0" fillId="35" fontId="4" numFmtId="9" xfId="0" applyAlignment="1" applyFont="1" applyNumberFormat="1">
      <alignment readingOrder="0"/>
    </xf>
    <xf borderId="0" fillId="0" fontId="19" numFmtId="166" xfId="0" applyAlignment="1" applyFont="1" applyNumberFormat="1">
      <alignment horizontal="right" vertical="bottom"/>
    </xf>
    <xf borderId="0" fillId="0" fontId="19" numFmtId="9" xfId="0" applyAlignment="1" applyFont="1" applyNumberFormat="1">
      <alignment horizontal="right" vertical="bottom"/>
    </xf>
    <xf borderId="0" fillId="18" fontId="4" numFmtId="9" xfId="0" applyAlignment="1" applyFont="1" applyNumberFormat="1">
      <alignment readingOrder="0"/>
    </xf>
    <xf borderId="0" fillId="18" fontId="4" numFmtId="166" xfId="0" applyAlignment="1" applyFont="1" applyNumberFormat="1">
      <alignment readingOrder="0"/>
    </xf>
    <xf borderId="0" fillId="0" fontId="19" numFmtId="10" xfId="0" applyAlignment="1" applyFont="1" applyNumberFormat="1">
      <alignment horizontal="right" vertical="bottom"/>
    </xf>
    <xf borderId="0" fillId="0" fontId="4" numFmtId="1" xfId="0" applyFont="1" applyNumberFormat="1"/>
    <xf borderId="0" fillId="0" fontId="19" numFmtId="166" xfId="0" applyAlignment="1" applyFont="1" applyNumberFormat="1">
      <alignment horizontal="right" readingOrder="0" vertical="bottom"/>
    </xf>
    <xf borderId="0" fillId="35" fontId="4" numFmtId="10" xfId="0" applyAlignment="1" applyFont="1" applyNumberFormat="1">
      <alignment readingOrder="0"/>
    </xf>
    <xf borderId="0" fillId="0" fontId="4" numFmtId="165" xfId="0" applyFont="1" applyNumberFormat="1"/>
    <xf borderId="0" fillId="0" fontId="4" numFmtId="49" xfId="0" applyFont="1" applyNumberFormat="1"/>
    <xf borderId="60" fillId="0" fontId="139" numFmtId="49" xfId="0" applyAlignment="1" applyBorder="1" applyFont="1" applyNumberFormat="1">
      <alignment horizontal="center" readingOrder="0"/>
    </xf>
    <xf borderId="61" fillId="0" fontId="139" numFmtId="165" xfId="0" applyAlignment="1" applyBorder="1" applyFont="1" applyNumberFormat="1">
      <alignment horizontal="center" readingOrder="0"/>
    </xf>
    <xf borderId="61" fillId="0" fontId="139" numFmtId="0" xfId="0" applyAlignment="1" applyBorder="1" applyFont="1">
      <alignment horizontal="center" readingOrder="0"/>
    </xf>
    <xf borderId="62" fillId="0" fontId="139" numFmtId="9" xfId="0" applyAlignment="1" applyBorder="1" applyFont="1" applyNumberFormat="1">
      <alignment horizontal="center" readingOrder="0"/>
    </xf>
    <xf borderId="63" fillId="0" fontId="4" numFmtId="0" xfId="0" applyAlignment="1" applyBorder="1" applyFont="1">
      <alignment readingOrder="0"/>
    </xf>
    <xf borderId="64" fillId="0" fontId="4" numFmtId="0" xfId="0" applyAlignment="1" applyBorder="1" applyFont="1">
      <alignment readingOrder="0"/>
    </xf>
    <xf borderId="64" fillId="0" fontId="4" numFmtId="0" xfId="0" applyBorder="1" applyFont="1"/>
    <xf borderId="65" fillId="0" fontId="4" numFmtId="0" xfId="0" applyBorder="1" applyFont="1"/>
    <xf borderId="64" fillId="0" fontId="4" numFmtId="166" xfId="0" applyAlignment="1" applyBorder="1" applyFont="1" applyNumberFormat="1">
      <alignment readingOrder="0"/>
    </xf>
    <xf borderId="65" fillId="0" fontId="4" numFmtId="9" xfId="0" applyAlignment="1" applyBorder="1" applyFont="1" applyNumberFormat="1">
      <alignment readingOrder="0"/>
    </xf>
    <xf borderId="19" fillId="0" fontId="19" numFmtId="0" xfId="0" applyAlignment="1" applyBorder="1" applyFont="1">
      <alignment vertical="bottom"/>
    </xf>
    <xf borderId="33" fillId="0" fontId="21" numFmtId="0" xfId="0" applyAlignment="1" applyBorder="1" applyFont="1">
      <alignment readingOrder="0" vertical="bottom"/>
    </xf>
    <xf borderId="29" fillId="0" fontId="21" numFmtId="0" xfId="0" applyAlignment="1" applyBorder="1" applyFont="1">
      <alignment readingOrder="0" vertical="bottom"/>
    </xf>
    <xf borderId="17" fillId="0" fontId="19" numFmtId="10" xfId="0" applyAlignment="1" applyBorder="1" applyFont="1" applyNumberFormat="1">
      <alignment horizontal="right" vertical="bottom"/>
    </xf>
    <xf borderId="29" fillId="0" fontId="21" numFmtId="0" xfId="0" applyAlignment="1" applyBorder="1" applyFont="1">
      <alignment vertical="bottom"/>
    </xf>
    <xf borderId="17" fillId="0" fontId="21" numFmtId="0" xfId="0" applyAlignment="1" applyBorder="1" applyFont="1">
      <alignment readingOrder="0" vertical="bottom"/>
    </xf>
    <xf borderId="60" fillId="0" fontId="139" numFmtId="0" xfId="0" applyAlignment="1" applyBorder="1" applyFont="1">
      <alignment horizontal="center" readingOrder="0"/>
    </xf>
    <xf borderId="61" fillId="0" fontId="139" numFmtId="0" xfId="0" applyAlignment="1" applyBorder="1" applyFont="1">
      <alignment horizontal="center"/>
    </xf>
    <xf borderId="62" fillId="0" fontId="139" numFmtId="0" xfId="0" applyAlignment="1" applyBorder="1" applyFont="1">
      <alignment horizontal="center"/>
    </xf>
  </cellXfs>
  <cellStyles count="1">
    <cellStyle xfId="0" name="Normal" builtinId="0"/>
  </cellStyles>
  <dxfs count="8">
    <dxf>
      <font>
        <color rgb="FF0B8043"/>
      </font>
      <fill>
        <patternFill patternType="none"/>
      </fill>
      <border/>
    </dxf>
    <dxf>
      <font>
        <color rgb="FFC53929"/>
      </font>
      <fill>
        <patternFill patternType="none"/>
      </fill>
      <border/>
    </dxf>
    <dxf>
      <font/>
      <fill>
        <patternFill patternType="solid">
          <fgColor rgb="FFB7E1CD"/>
          <bgColor rgb="FFB7E1CD"/>
        </patternFill>
      </fill>
      <border/>
    </dxf>
    <dxf>
      <font/>
      <fill>
        <patternFill patternType="none"/>
      </fill>
      <border/>
    </dxf>
    <dxf>
      <font/>
      <fill>
        <patternFill patternType="solid">
          <fgColor rgb="FF6C7687"/>
          <bgColor rgb="FF6C7687"/>
        </patternFill>
      </fill>
      <border/>
    </dxf>
    <dxf>
      <font/>
      <fill>
        <patternFill patternType="solid">
          <fgColor rgb="FFEBEFF1"/>
          <bgColor rgb="FFEBEFF1"/>
        </patternFill>
      </fill>
      <border/>
    </dxf>
    <dxf>
      <font/>
      <fill>
        <patternFill patternType="solid">
          <fgColor rgb="FFFFFFFF"/>
          <bgColor rgb="FFFFFFFF"/>
        </patternFill>
      </fill>
      <border/>
    </dxf>
    <dxf>
      <font/>
      <fill>
        <patternFill patternType="solid">
          <fgColor rgb="FFF4CCCC"/>
          <bgColor rgb="FFF4CCCC"/>
        </patternFill>
      </fill>
      <border/>
    </dxf>
  </dxfs>
  <tableStyles count="20">
    <tableStyle count="3" pivot="0" name="Detail26-Vikings - SMS-6-style">
      <tableStyleElement dxfId="4" type="headerRow"/>
      <tableStyleElement dxfId="5" type="firstRowStripe"/>
      <tableStyleElement dxfId="6" type="secondRowStripe"/>
    </tableStyle>
    <tableStyle count="3" pivot="0" name="Detail11-Vikings-2-style">
      <tableStyleElement dxfId="4" type="headerRow"/>
      <tableStyleElement dxfId="5" type="firstRowStripe"/>
      <tableStyleElement dxfId="6" type="secondRowStripe"/>
    </tableStyle>
    <tableStyle count="3" pivot="0" name="Detail28-Vikings - WhatsApp-6-style">
      <tableStyleElement dxfId="4" type="headerRow"/>
      <tableStyleElement dxfId="5" type="firstRowStripe"/>
      <tableStyleElement dxfId="6" type="secondRowStripe"/>
    </tableStyle>
    <tableStyle count="3" pivot="0" name="Detail27-Vikings - WhatsApp-5-style">
      <tableStyleElement dxfId="4" type="headerRow"/>
      <tableStyleElement dxfId="5" type="firstRowStripe"/>
      <tableStyleElement dxfId="6" type="secondRowStripe"/>
    </tableStyle>
    <tableStyle count="3" pivot="0" name="Detail25-Vikings - WhatsApp-5-style">
      <tableStyleElement dxfId="4" type="headerRow"/>
      <tableStyleElement dxfId="5" type="firstRowStripe"/>
      <tableStyleElement dxfId="6" type="secondRowStripe"/>
    </tableStyle>
    <tableStyle count="3" pivot="0" name="Detail24-Vikings - WhatsApp-5-style">
      <tableStyleElement dxfId="4" type="headerRow"/>
      <tableStyleElement dxfId="5" type="firstRowStripe"/>
      <tableStyleElement dxfId="6" type="secondRowStripe"/>
    </tableStyle>
    <tableStyle count="3" pivot="0" name="Detail23-Vikings - WhatsApp-4-style">
      <tableStyleElement dxfId="4" type="headerRow"/>
      <tableStyleElement dxfId="5" type="firstRowStripe"/>
      <tableStyleElement dxfId="6" type="secondRowStripe"/>
    </tableStyle>
    <tableStyle count="3" pivot="0" name="Detail22-Vikings - WhatsApp-6-style">
      <tableStyleElement dxfId="4" type="headerRow"/>
      <tableStyleElement dxfId="5" type="firstRowStripe"/>
      <tableStyleElement dxfId="6" type="secondRowStripe"/>
    </tableStyle>
    <tableStyle count="3" pivot="0" name="Detail21-Vikings - WhatsApp-5-style">
      <tableStyleElement dxfId="4" type="headerRow"/>
      <tableStyleElement dxfId="5" type="firstRowStripe"/>
      <tableStyleElement dxfId="6" type="secondRowStripe"/>
    </tableStyle>
    <tableStyle count="3" pivot="0" name="Detail20-Vikings - WhatsApp-5-style">
      <tableStyleElement dxfId="4" type="headerRow"/>
      <tableStyleElement dxfId="5" type="firstRowStripe"/>
      <tableStyleElement dxfId="6" type="secondRowStripe"/>
    </tableStyle>
    <tableStyle count="3" pivot="0" name="Detail19-Vikings - WhatsApp-5-style">
      <tableStyleElement dxfId="4" type="headerRow"/>
      <tableStyleElement dxfId="5" type="firstRowStripe"/>
      <tableStyleElement dxfId="6" type="secondRowStripe"/>
    </tableStyle>
    <tableStyle count="3" pivot="0" name="Detail18-Vikings - WhatsApp-6-style">
      <tableStyleElement dxfId="4" type="headerRow"/>
      <tableStyleElement dxfId="5" type="firstRowStripe"/>
      <tableStyleElement dxfId="6" type="secondRowStripe"/>
    </tableStyle>
    <tableStyle count="3" pivot="0" name="Detail17-Vikings - WhatsApp-5-style">
      <tableStyleElement dxfId="4" type="headerRow"/>
      <tableStyleElement dxfId="5" type="firstRowStripe"/>
      <tableStyleElement dxfId="6" type="secondRowStripe"/>
    </tableStyle>
    <tableStyle count="3" pivot="0" name="Detail16-Vikings - WhatsApp-5-style">
      <tableStyleElement dxfId="4" type="headerRow"/>
      <tableStyleElement dxfId="5" type="firstRowStripe"/>
      <tableStyleElement dxfId="6" type="secondRowStripe"/>
    </tableStyle>
    <tableStyle count="3" pivot="0" name="Detail10-Minerva-3-style">
      <tableStyleElement dxfId="4" type="headerRow"/>
      <tableStyleElement dxfId="5" type="firstRowStripe"/>
      <tableStyleElement dxfId="6" type="secondRowStripe"/>
    </tableStyle>
    <tableStyle count="3" pivot="0" name="Detail8-Atrium-2-style">
      <tableStyleElement dxfId="4" type="headerRow"/>
      <tableStyleElement dxfId="5" type="firstRowStripe"/>
      <tableStyleElement dxfId="6" type="secondRowStripe"/>
    </tableStyle>
    <tableStyle count="3" pivot="0" name="Detail7-Pirates-2-style">
      <tableStyleElement dxfId="4" type="headerRow"/>
      <tableStyleElement dxfId="5" type="firstRowStripe"/>
      <tableStyleElement dxfId="6" type="secondRowStripe"/>
    </tableStyle>
    <tableStyle count="3" pivot="0" name="Detail6-DataForce-1-style">
      <tableStyleElement dxfId="4" type="headerRow"/>
      <tableStyleElement dxfId="5" type="firstRowStripe"/>
      <tableStyleElement dxfId="6" type="secondRowStripe"/>
    </tableStyle>
    <tableStyle count="3" pivot="0" name="Detail12-style">
      <tableStyleElement dxfId="4" type="headerRow"/>
      <tableStyleElement dxfId="5" type="firstRowStripe"/>
      <tableStyleElement dxfId="6" type="secondRowStripe"/>
    </tableStyle>
    <tableStyle count="3" pivot="0" name="Detail13-style">
      <tableStyleElement dxfId="4" type="headerRow"/>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62" Type="http://schemas.openxmlformats.org/officeDocument/2006/relationships/pivotCacheDefinition" Target="pivotCache/pivotCacheDefinition3.xml"/><Relationship Id="rId61" Type="http://schemas.openxmlformats.org/officeDocument/2006/relationships/pivotCacheDefinition" Target="pivotCache/pivotCacheDefinition2.xml"/><Relationship Id="rId64" Type="http://schemas.openxmlformats.org/officeDocument/2006/relationships/pivotCacheDefinition" Target="pivotCache/pivotCacheDefinition5.xml"/><Relationship Id="rId63" Type="http://schemas.openxmlformats.org/officeDocument/2006/relationships/pivotCacheDefinition" Target="pivotCache/pivotCacheDefinition4.xml"/><Relationship Id="rId66" Type="http://schemas.openxmlformats.org/officeDocument/2006/relationships/pivotCacheDefinition" Target="pivotCache/pivotCacheDefinition7.xml"/><Relationship Id="rId65" Type="http://schemas.openxmlformats.org/officeDocument/2006/relationships/pivotCacheDefinition" Target="pivotCache/pivotCacheDefinition6.xml"/><Relationship Id="rId68" Type="http://schemas.openxmlformats.org/officeDocument/2006/relationships/pivotCacheDefinition" Target="pivotCache/pivotCacheDefinition9.xml"/><Relationship Id="rId67" Type="http://schemas.openxmlformats.org/officeDocument/2006/relationships/pivotCacheDefinition" Target="pivotCache/pivotCacheDefinition8.xml"/><Relationship Id="rId60" Type="http://schemas.openxmlformats.org/officeDocument/2006/relationships/pivotCacheDefinition" Target="pivotCache/pivotCacheDefinition1.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55" Type="http://schemas.openxmlformats.org/officeDocument/2006/relationships/worksheet" Target="worksheets/sheet52.xml"/><Relationship Id="rId54" Type="http://schemas.openxmlformats.org/officeDocument/2006/relationships/worksheet" Target="worksheets/sheet51.xml"/><Relationship Id="rId57" Type="http://schemas.openxmlformats.org/officeDocument/2006/relationships/worksheet" Target="worksheets/sheet54.xml"/><Relationship Id="rId56" Type="http://schemas.openxmlformats.org/officeDocument/2006/relationships/worksheet" Target="worksheets/sheet53.xml"/><Relationship Id="rId59" Type="http://schemas.openxmlformats.org/officeDocument/2006/relationships/worksheet" Target="worksheets/sheet56.xml"/><Relationship Id="rId58"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619125</xdr:colOff>
      <xdr:row>5</xdr:row>
      <xdr:rowOff>123825</xdr:rowOff>
    </xdr:from>
    <xdr:ext cx="5848350" cy="1076325"/>
    <xdr:sp>
      <xdr:nvSpPr>
        <xdr:cNvPr id="3" name="Shape 3"/>
        <xdr:cNvSpPr txBox="1"/>
      </xdr:nvSpPr>
      <xdr:spPr>
        <a:xfrm>
          <a:off x="572325" y="522150"/>
          <a:ext cx="8136900" cy="1477500"/>
        </a:xfrm>
        <a:prstGeom prst="rect">
          <a:avLst/>
        </a:prstGeom>
        <a:solidFill>
          <a:srgbClr val="FFF2CC"/>
        </a:solidFill>
        <a:ln>
          <a:noFill/>
        </a:ln>
      </xdr:spPr>
      <xdr:txBody>
        <a:bodyPr anchorCtr="0" anchor="t" bIns="91425" lIns="91425" spcFirstLastPara="1" rIns="91425" wrap="square" tIns="91425">
          <a:spAutoFit/>
        </a:bodyPr>
        <a:lstStyle/>
        <a:p>
          <a:pPr indent="0" lvl="0" marL="0" rtl="0" algn="ctr">
            <a:spcBef>
              <a:spcPts val="0"/>
            </a:spcBef>
            <a:spcAft>
              <a:spcPts val="0"/>
            </a:spcAft>
            <a:buNone/>
          </a:pPr>
          <a:r>
            <a:rPr b="1" lang="en-US" sz="2000"/>
            <a:t>ATTENTION</a:t>
          </a:r>
          <a:endParaRPr b="1" sz="2000"/>
        </a:p>
        <a:p>
          <a:pPr indent="-330200" lvl="0" marL="457200" rtl="0" algn="ctr">
            <a:spcBef>
              <a:spcPts val="0"/>
            </a:spcBef>
            <a:spcAft>
              <a:spcPts val="0"/>
            </a:spcAft>
            <a:buSzPts val="1600"/>
            <a:buChar char="-"/>
          </a:pPr>
          <a:r>
            <a:rPr lang="en-US" sz="1600"/>
            <a:t>Please right-click on this </a:t>
          </a:r>
          <a:r>
            <a:rPr lang="en-US" sz="1600" u="sng"/>
            <a:t>tab</a:t>
          </a:r>
          <a:r>
            <a:rPr lang="en-US" sz="1600"/>
            <a:t>, </a:t>
          </a:r>
          <a:r>
            <a:rPr b="1" lang="en-US" sz="1600"/>
            <a:t>duplicate,</a:t>
          </a:r>
          <a:r>
            <a:rPr lang="en-US" sz="1600"/>
            <a:t> and </a:t>
          </a:r>
          <a:r>
            <a:rPr b="1" lang="en-US" sz="1600"/>
            <a:t>rename </a:t>
          </a:r>
          <a:r>
            <a:rPr lang="en-US" sz="1600"/>
            <a:t>it for your team.</a:t>
          </a:r>
          <a:endParaRPr sz="1600"/>
        </a:p>
        <a:p>
          <a:pPr indent="-330200" lvl="0" marL="457200" rtl="0" algn="ctr">
            <a:spcBef>
              <a:spcPts val="0"/>
            </a:spcBef>
            <a:spcAft>
              <a:spcPts val="0"/>
            </a:spcAft>
            <a:buSzPts val="1600"/>
            <a:buChar char="-"/>
          </a:pPr>
          <a:r>
            <a:rPr lang="en-US" sz="1600"/>
            <a:t>Do </a:t>
          </a:r>
          <a:r>
            <a:rPr b="1" lang="en-US" sz="1600"/>
            <a:t>not </a:t>
          </a:r>
          <a:r>
            <a:rPr lang="en-US" sz="1600"/>
            <a:t>remove rows, use “</a:t>
          </a:r>
          <a:r>
            <a:rPr b="1" lang="en-US" sz="1600"/>
            <a:t>hide</a:t>
          </a:r>
          <a:r>
            <a:rPr lang="en-US" sz="1600"/>
            <a:t> rows” instead.</a:t>
          </a:r>
          <a:endParaRPr sz="1600"/>
        </a:p>
        <a:p>
          <a:pPr indent="-330200" lvl="0" marL="457200" rtl="0" algn="ctr">
            <a:spcBef>
              <a:spcPts val="0"/>
            </a:spcBef>
            <a:spcAft>
              <a:spcPts val="0"/>
            </a:spcAft>
            <a:buSzPts val="1600"/>
            <a:buChar char="-"/>
          </a:pPr>
          <a:r>
            <a:rPr lang="en-US" sz="1600"/>
            <a:t>Do </a:t>
          </a:r>
          <a:r>
            <a:rPr b="1" lang="en-US" sz="1600"/>
            <a:t>not </a:t>
          </a:r>
          <a:r>
            <a:rPr lang="en-US" sz="1600"/>
            <a:t>add any rows above the 28th row, you can add them </a:t>
          </a:r>
          <a:r>
            <a:rPr b="1" lang="en-US" sz="1600"/>
            <a:t>below </a:t>
          </a:r>
          <a:r>
            <a:rPr lang="en-US" sz="1600"/>
            <a:t>the colored metrics.</a:t>
          </a:r>
          <a:endParaRPr sz="16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771525</xdr:colOff>
      <xdr:row>84</xdr:row>
      <xdr:rowOff>19050</xdr:rowOff>
    </xdr:from>
    <xdr:ext cx="5848350" cy="1076325"/>
    <xdr:sp>
      <xdr:nvSpPr>
        <xdr:cNvPr id="3" name="Shape 3"/>
        <xdr:cNvSpPr txBox="1"/>
      </xdr:nvSpPr>
      <xdr:spPr>
        <a:xfrm>
          <a:off x="572325" y="522150"/>
          <a:ext cx="8136900" cy="1477500"/>
        </a:xfrm>
        <a:prstGeom prst="rect">
          <a:avLst/>
        </a:prstGeom>
        <a:solidFill>
          <a:srgbClr val="FFF2CC"/>
        </a:solidFill>
        <a:ln>
          <a:noFill/>
        </a:ln>
      </xdr:spPr>
      <xdr:txBody>
        <a:bodyPr anchorCtr="0" anchor="t" bIns="91425" lIns="91425" spcFirstLastPara="1" rIns="91425" wrap="square" tIns="91425">
          <a:spAutoFit/>
        </a:bodyPr>
        <a:lstStyle/>
        <a:p>
          <a:pPr indent="0" lvl="0" marL="0" rtl="0" algn="ctr">
            <a:spcBef>
              <a:spcPts val="0"/>
            </a:spcBef>
            <a:spcAft>
              <a:spcPts val="0"/>
            </a:spcAft>
            <a:buNone/>
          </a:pPr>
          <a:r>
            <a:rPr b="1" lang="en-US" sz="2000"/>
            <a:t>ATTENTION</a:t>
          </a:r>
          <a:endParaRPr b="1" sz="2000"/>
        </a:p>
        <a:p>
          <a:pPr indent="-330200" lvl="0" marL="457200" rtl="0" algn="ctr">
            <a:spcBef>
              <a:spcPts val="0"/>
            </a:spcBef>
            <a:spcAft>
              <a:spcPts val="0"/>
            </a:spcAft>
            <a:buSzPts val="1600"/>
            <a:buChar char="-"/>
          </a:pPr>
          <a:r>
            <a:rPr lang="en-US" sz="1600"/>
            <a:t>Please right-click on this </a:t>
          </a:r>
          <a:r>
            <a:rPr lang="en-US" sz="1600" u="sng"/>
            <a:t>tab</a:t>
          </a:r>
          <a:r>
            <a:rPr lang="en-US" sz="1600"/>
            <a:t>, </a:t>
          </a:r>
          <a:r>
            <a:rPr b="1" lang="en-US" sz="1600"/>
            <a:t>duplicate,</a:t>
          </a:r>
          <a:r>
            <a:rPr lang="en-US" sz="1600"/>
            <a:t> and </a:t>
          </a:r>
          <a:r>
            <a:rPr b="1" lang="en-US" sz="1600"/>
            <a:t>rename </a:t>
          </a:r>
          <a:r>
            <a:rPr lang="en-US" sz="1600"/>
            <a:t>it for your team.</a:t>
          </a:r>
          <a:endParaRPr sz="1600"/>
        </a:p>
        <a:p>
          <a:pPr indent="-330200" lvl="0" marL="457200" rtl="0" algn="ctr">
            <a:spcBef>
              <a:spcPts val="0"/>
            </a:spcBef>
            <a:spcAft>
              <a:spcPts val="0"/>
            </a:spcAft>
            <a:buSzPts val="1600"/>
            <a:buChar char="-"/>
          </a:pPr>
          <a:r>
            <a:rPr lang="en-US" sz="1600"/>
            <a:t>Do </a:t>
          </a:r>
          <a:r>
            <a:rPr b="1" lang="en-US" sz="1600"/>
            <a:t>not </a:t>
          </a:r>
          <a:r>
            <a:rPr lang="en-US" sz="1600"/>
            <a:t>remove rows, use “</a:t>
          </a:r>
          <a:r>
            <a:rPr b="1" lang="en-US" sz="1600"/>
            <a:t>hide</a:t>
          </a:r>
          <a:r>
            <a:rPr lang="en-US" sz="1600"/>
            <a:t> rows” instead.</a:t>
          </a:r>
          <a:endParaRPr sz="1600"/>
        </a:p>
        <a:p>
          <a:pPr indent="-330200" lvl="0" marL="457200" rtl="0" algn="ctr">
            <a:spcBef>
              <a:spcPts val="0"/>
            </a:spcBef>
            <a:spcAft>
              <a:spcPts val="0"/>
            </a:spcAft>
            <a:buSzPts val="1600"/>
            <a:buChar char="-"/>
          </a:pPr>
          <a:r>
            <a:rPr lang="en-US" sz="1600"/>
            <a:t>Do </a:t>
          </a:r>
          <a:r>
            <a:rPr b="1" lang="en-US" sz="1600"/>
            <a:t>not </a:t>
          </a:r>
          <a:r>
            <a:rPr lang="en-US" sz="1600"/>
            <a:t>add any rows above the 28th row, you can add them </a:t>
          </a:r>
          <a:r>
            <a:rPr b="1" lang="en-US" sz="1600"/>
            <a:t>below </a:t>
          </a:r>
          <a:r>
            <a:rPr lang="en-US" sz="1600"/>
            <a:t>the colored metrics.</a:t>
          </a:r>
          <a:endParaRPr sz="16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3.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4.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5.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6.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7.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8.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9.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AQ1069" sheet="Summary Per Team"/>
  </cacheSource>
  <cacheFields>
    <cacheField name="Team" numFmtId="0">
      <sharedItems containsBlank="1">
        <s v="Atrium"/>
        <s v="Unix"/>
        <s v="Samaritan"/>
        <s v="Contech"/>
        <s v="Kraken"/>
        <s v="Cerberus"/>
        <s v="Coruscant"/>
        <s v="Korriban"/>
        <s v="Design System"/>
        <s v="GhostBusters"/>
        <s v="MythBusters"/>
        <s v="Minerva"/>
        <s v="Mobile West"/>
        <s v="Mobile Cartel"/>
        <s v="Mobile East"/>
        <s v="Pirate Squad"/>
        <s v="Skeletors"/>
        <s v="Liron"/>
        <s v="ScaleUp"/>
        <s v="Valorem"/>
        <s v="Vikings - SMS"/>
        <s v="Vikings - WhatsApp"/>
        <s v="Byte Masters"/>
        <s v="DataForce"/>
        <s v="QMechanics"/>
        <s v="Mobile"/>
        <s v="Pirates"/>
        <s v="Scalability"/>
        <s v="Vikings"/>
        <s v="DevOps"/>
        <s v="Paracetamol"/>
        <s v="Griffin "/>
        <m/>
      </sharedItems>
    </cacheField>
    <cacheField name="Month" numFmtId="0">
      <sharedItems containsString="0" containsBlank="1" containsNumber="1" containsInteger="1">
        <n v="1.0"/>
        <n v="2.0"/>
        <n v="3.0"/>
        <n v="4.0"/>
        <n v="5.0"/>
        <n v="6.0"/>
        <n v="7.0"/>
        <n v="8.0"/>
        <n v="9.0"/>
        <n v="10.0"/>
        <n v="11.0"/>
        <n v="12.0"/>
        <m/>
      </sharedItems>
    </cacheField>
    <cacheField name="Release Efficiency" numFmtId="9">
      <sharedItems containsString="0" containsBlank="1" containsNumber="1">
        <n v="0.1218954248366013"/>
        <m/>
      </sharedItems>
    </cacheField>
    <cacheField name="Shipping Accuracy" numFmtId="166">
      <sharedItems containsString="0" containsBlank="1" containsNumber="1">
        <n v="0.48"/>
        <n v="0.63"/>
        <n v="0.73"/>
        <n v="0.64"/>
        <n v="0.89"/>
        <n v="0.35"/>
        <n v="0.57"/>
        <n v="0.69"/>
        <n v="0.61"/>
        <m/>
        <n v="0.45"/>
        <n v="0.59"/>
        <n v="0.55"/>
        <n v="0.58"/>
        <n v="0.54"/>
        <n v="0.79"/>
        <n v="0.65"/>
        <n v="0.56"/>
        <n v="0.67"/>
        <n v="0.71"/>
        <n v="0.78"/>
        <n v="0.92"/>
        <n v="0.74"/>
        <n v="0.7"/>
        <n v="0.47"/>
        <n v="0.81"/>
        <n v="0.82"/>
        <n v="0.8"/>
        <n v="1.0"/>
        <n v="0.83"/>
        <n v="0.93"/>
        <n v="0.97"/>
        <n v="0.96"/>
        <n v="0.99"/>
        <n v="0.72"/>
        <n v="0.84"/>
        <n v="0.85"/>
        <n v="1.02"/>
        <n v="0.9"/>
        <n v="0.98"/>
        <n v="0.91"/>
        <n v="0.95"/>
        <n v="0.0"/>
        <n v="0.07"/>
        <n v="0.19"/>
        <n v="0.26"/>
        <n v="0.2"/>
        <n v="0.08"/>
        <n v="0.25"/>
        <n v="0.62"/>
        <n v="0.76"/>
        <n v="0.68"/>
        <n v="0.53"/>
        <n v="0.75"/>
        <n v="0.77"/>
        <n v="1.01"/>
        <n v="0.94"/>
        <n v="1.04"/>
        <n v="0.66"/>
        <n v="0.34"/>
        <n v="0.88"/>
        <n v="0.52"/>
        <n v="0.33"/>
        <n v="0.24"/>
        <n v="0.38"/>
        <n v="0.6"/>
        <n v="0.36"/>
        <n v="0.27"/>
        <n v="0.29"/>
        <n v="0.39"/>
        <n v="0.46"/>
        <n v="0.765"/>
        <n v="0.625"/>
        <n v="0.937"/>
        <n v="0.883"/>
        <n v="0.897"/>
        <n v="0.505"/>
        <n v="0.635"/>
        <n v="0.725"/>
        <n v="0.715"/>
        <n v="0.675"/>
        <n v="0.743"/>
        <n v="0.727"/>
        <n v="0.843"/>
        <n v="0.87"/>
        <n v="0.777"/>
        <n v="0.927"/>
        <n v="0.3"/>
        <n v="0.395"/>
        <n v="0.563"/>
        <n v="0.607"/>
        <n v="0.4"/>
        <n v="0.815"/>
        <n v="0.695"/>
        <n v="0.835"/>
        <n v="0.13"/>
      </sharedItems>
    </cacheField>
    <cacheField name="Bug/Development Ratio" numFmtId="166">
      <sharedItems containsString="0" containsBlank="1" containsNumber="1">
        <n v="0.1"/>
        <n v="0.13"/>
        <n v="0.21"/>
        <n v="0.25"/>
        <n v="0.29"/>
        <n v="0.36"/>
        <n v="0.28"/>
        <n v="0.34"/>
        <n v="0.3"/>
        <m/>
        <n v="0.15"/>
        <n v="0.2"/>
        <n v="0.27"/>
        <n v="0.19"/>
        <n v="0.22"/>
        <n v="0.14"/>
        <n v="0.32"/>
        <n v="0.18"/>
        <n v="0.31"/>
        <n v="0.11"/>
        <n v="0.4"/>
        <n v="0.38"/>
        <n v="0.37"/>
        <n v="0.45"/>
        <n v="0.44"/>
        <n v="0.16"/>
        <n v="0.26"/>
        <n v="0.43"/>
        <n v="0.63"/>
        <n v="0.57"/>
        <n v="0.54"/>
        <n v="0.0"/>
        <n v="0.46"/>
        <n v="0.33"/>
        <n v="0.65"/>
        <n v="0.53"/>
        <n v="0.41"/>
        <n v="0.51"/>
        <n v="0.23"/>
        <n v="0.04"/>
        <n v="0.02"/>
        <n v="0.07"/>
        <n v="0.39"/>
        <n v="0.17"/>
        <n v="0.24"/>
        <n v="0.48"/>
        <n v="0.42"/>
        <n v="0.01"/>
        <n v="0.03"/>
        <n v="0.5"/>
        <n v="0.52"/>
        <n v="0.06"/>
        <n v="0.92"/>
        <n v="0.71"/>
        <n v="0.35"/>
        <n v="0.12"/>
        <n v="0.08"/>
        <n v="0.05"/>
        <n v="0.145"/>
        <n v="0.195"/>
        <n v="0.235"/>
        <n v="0.183"/>
        <n v="0.327"/>
        <n v="0.375"/>
        <n v="0.243"/>
        <n v="0.143"/>
        <n v="0.497"/>
        <n v="0.175"/>
        <n v="0.205"/>
        <n v="0.405"/>
        <n v="0.455"/>
        <n v="0.435"/>
        <n v="0.337"/>
        <n v="0.287"/>
        <n v="0.193"/>
        <n v="0.277"/>
        <n v="0.353"/>
        <n v="0.443"/>
        <n v="0.285"/>
        <n v="0.217"/>
        <n v="0.257"/>
        <n v="0.155"/>
        <n v="0.225"/>
      </sharedItems>
    </cacheField>
    <cacheField name="Planning Accuracy" numFmtId="166">
      <sharedItems containsString="0" containsBlank="1" containsNumber="1">
        <n v="0.79"/>
        <n v="0.71"/>
        <n v="1.03"/>
        <n v="0.69"/>
        <n v="0.81"/>
        <n v="0.5"/>
        <n v="0.51"/>
        <n v="0.75"/>
        <n v="0.41"/>
        <m/>
        <n v="0.78"/>
        <n v="0.9"/>
        <n v="0.97"/>
        <n v="0.85"/>
        <n v="0.95"/>
        <n v="1.0"/>
        <n v="0.83"/>
        <n v="0.99"/>
        <n v="0.91"/>
        <n v="0.98"/>
        <n v="0.94"/>
        <n v="0.74"/>
        <n v="0.67"/>
        <n v="0.89"/>
        <n v="0.87"/>
        <n v="0.65"/>
        <n v="0.73"/>
        <n v="0.86"/>
        <n v="0.88"/>
        <n v="0.61"/>
        <n v="0.68"/>
        <n v="0.76"/>
        <n v="0.42"/>
        <n v="1.01"/>
        <n v="0.82"/>
        <n v="0.72"/>
        <n v="0.92"/>
        <n v="1.04"/>
        <n v="0.8"/>
        <n v="0.64"/>
        <n v="0.84"/>
        <n v="0.53"/>
        <n v="1.05"/>
        <n v="1.11"/>
        <n v="1.17"/>
        <n v="0.96"/>
        <n v="0.62"/>
        <n v="0.57"/>
        <n v="0.93"/>
        <n v="0.47"/>
        <n v="0.56"/>
        <n v="0.32"/>
        <n v="0.77"/>
        <n v="0.7"/>
        <n v="0.3"/>
        <n v="0.59"/>
        <n v="0.39"/>
        <n v="0.46"/>
        <n v="1.02"/>
        <n v="1.1"/>
        <n v="0.43"/>
        <n v="0.6"/>
        <n v="0.885"/>
        <n v="0.905"/>
        <n v="0.985"/>
        <n v="0.753"/>
        <n v="1.033"/>
        <n v="0.893"/>
        <n v="0.827"/>
        <n v="0.857"/>
        <n v="0.717"/>
        <n v="0.715"/>
        <n v="0.445"/>
        <n v="0.765"/>
        <n v="0.787"/>
        <n v="0.63"/>
        <n v="0.793"/>
        <n v="0.915"/>
        <n v="0.845"/>
        <n v="0.973"/>
        <n v="0.813"/>
        <n v="0.805"/>
        <n v="0.865"/>
        <n v="0.775"/>
        <n v="0.45"/>
        <n v="0.58"/>
        <n v="0.33"/>
      </sharedItems>
    </cacheField>
    <cacheField name="Sprint Goal Success" numFmtId="9">
      <sharedItems containsString="0" containsBlank="1" containsNumber="1">
        <n v="0.65"/>
        <n v="0.775"/>
        <n v="0.95"/>
        <n v="0.85"/>
        <n v="1.0"/>
        <n v="0.425"/>
        <n v="0.25"/>
        <m/>
        <n v="0.3"/>
        <n v="0.53"/>
        <n v="0.766"/>
        <n v="0.925"/>
        <n v="0.93"/>
        <n v="0.9"/>
        <n v="0.575"/>
        <n v="0.15"/>
        <n v="0.71"/>
        <n v="0.5"/>
        <n v="0.77"/>
        <n v="0.533"/>
        <n v="0.225"/>
        <n v="0.0"/>
        <n v="0.67"/>
        <n v="0.666"/>
        <n v="0.33"/>
        <n v="0.62"/>
        <n v="0.58"/>
        <n v="0.51"/>
        <n v="0.83"/>
        <n v="0.48"/>
        <n v="0.61"/>
        <n v="0.88"/>
        <n v="0.72"/>
        <n v="0.73"/>
        <n v="0.86"/>
        <n v="0.75"/>
        <n v="0.54"/>
        <n v="0.56"/>
        <n v="0.39"/>
        <n v="0.46"/>
        <n v="0.42"/>
        <n v="0.81"/>
        <n v="0.79"/>
        <n v="0.4"/>
        <n v="0.76"/>
        <n v="0.84"/>
      </sharedItems>
    </cacheField>
    <cacheField name=" " numFmtId="0">
      <sharedItems containsString="0" containsBlank="1">
        <m/>
      </sharedItems>
    </cacheField>
    <cacheField name="Done PBI Effort" numFmtId="0">
      <sharedItems containsBlank="1">
        <e v="#N/A"/>
        <m/>
        <e v="#REF!"/>
      </sharedItems>
    </cacheField>
    <cacheField name="Shipping accuracy formülleri güncellenecek, Release Efficiency metriği eklenecek" numFmtId="0">
      <sharedItems containsString="0" containsBlank="1">
        <m/>
      </sharedItems>
    </cacheField>
    <cacheField name=" 2" numFmtId="0">
      <sharedItems containsBlank="1">
        <m/>
        <s v=" "/>
      </sharedItems>
    </cacheField>
    <cacheField name=" 3" numFmtId="0">
      <sharedItems containsString="0" containsBlank="1">
        <m/>
      </sharedItems>
    </cacheField>
    <cacheField name=" 4" numFmtId="0">
      <sharedItems containsString="0" containsBlank="1">
        <m/>
      </sharedItems>
    </cacheField>
    <cacheField name=" 5" numFmtId="0">
      <sharedItems containsString="0" containsBlank="1">
        <m/>
      </sharedItems>
    </cacheField>
    <cacheField name=" 6" numFmtId="0">
      <sharedItems containsString="0" containsBlank="1">
        <m/>
      </sharedItems>
    </cacheField>
    <cacheField name="Success" numFmtId="0">
      <sharedItems containsString="0" containsBlank="1">
        <m/>
      </sharedItems>
    </cacheField>
    <cacheField name=" 7" numFmtId="0">
      <sharedItems containsString="0" containsBlank="1">
        <m/>
      </sharedItems>
    </cacheField>
    <cacheField name=" 8" numFmtId="0">
      <sharedItems containsString="0" containsBlank="1">
        <m/>
      </sharedItems>
    </cacheField>
    <cacheField name=" 9" numFmtId="0">
      <sharedItems containsString="0" containsBlank="1">
        <m/>
      </sharedItems>
    </cacheField>
    <cacheField name=" 10" numFmtId="0">
      <sharedItems containsString="0" containsBlank="1">
        <m/>
      </sharedItems>
    </cacheField>
    <cacheField name=" 11" numFmtId="0">
      <sharedItems containsString="0" containsBlank="1">
        <m/>
      </sharedItems>
    </cacheField>
    <cacheField name=" 12" numFmtId="0">
      <sharedItems containsString="0" containsBlank="1">
        <m/>
      </sharedItems>
    </cacheField>
    <cacheField name=" 13" numFmtId="0">
      <sharedItems containsString="0" containsBlank="1">
        <m/>
      </sharedItems>
    </cacheField>
    <cacheField name=" 14" numFmtId="0">
      <sharedItems containsString="0" containsBlank="1">
        <m/>
      </sharedItems>
    </cacheField>
    <cacheField name=" 15" numFmtId="0">
      <sharedItems containsString="0" containsBlank="1">
        <m/>
      </sharedItems>
    </cacheField>
    <cacheField name=" 16" numFmtId="0">
      <sharedItems containsString="0" containsBlank="1">
        <m/>
      </sharedItems>
    </cacheField>
    <cacheField name=" 17" numFmtId="0">
      <sharedItems containsString="0" containsBlank="1">
        <m/>
      </sharedItems>
    </cacheField>
    <cacheField name=" 18" numFmtId="0">
      <sharedItems containsString="0" containsBlank="1">
        <m/>
      </sharedItems>
    </cacheField>
    <cacheField name=" 19" numFmtId="0">
      <sharedItems containsString="0" containsBlank="1">
        <m/>
      </sharedItems>
    </cacheField>
    <cacheField name=" 20" numFmtId="0">
      <sharedItems containsString="0" containsBlank="1">
        <m/>
      </sharedItems>
    </cacheField>
    <cacheField name=" 21" numFmtId="0">
      <sharedItems containsString="0" containsBlank="1">
        <m/>
      </sharedItems>
    </cacheField>
    <cacheField name=" 22" numFmtId="0">
      <sharedItems containsString="0" containsBlank="1">
        <m/>
      </sharedItems>
    </cacheField>
    <cacheField name=" 23" numFmtId="0">
      <sharedItems containsString="0" containsBlank="1">
        <m/>
      </sharedItems>
    </cacheField>
    <cacheField name=" 24" numFmtId="0">
      <sharedItems containsString="0" containsBlank="1">
        <m/>
      </sharedItems>
    </cacheField>
    <cacheField name=" 25" numFmtId="0">
      <sharedItems containsString="0" containsBlank="1">
        <m/>
      </sharedItems>
    </cacheField>
    <cacheField name=" 26" numFmtId="0">
      <sharedItems containsString="0" containsBlank="1">
        <m/>
      </sharedItems>
    </cacheField>
    <cacheField name=" 27" numFmtId="0">
      <sharedItems containsString="0" containsBlank="1">
        <m/>
      </sharedItems>
    </cacheField>
    <cacheField name=" 28" numFmtId="0">
      <sharedItems containsString="0" containsBlank="1">
        <m/>
      </sharedItems>
    </cacheField>
    <cacheField name=" 29" numFmtId="0">
      <sharedItems containsString="0" containsBlank="1">
        <m/>
      </sharedItems>
    </cacheField>
    <cacheField name=" 30" numFmtId="0">
      <sharedItems containsString="0" containsBlank="1">
        <m/>
      </sharedItems>
    </cacheField>
    <cacheField name=" 31" numFmtId="0">
      <sharedItems containsString="0" containsBlank="1">
        <m/>
      </sharedItems>
    </cacheField>
    <cacheField name=" 32" numFmtId="0">
      <sharedItems containsString="0" containsBlank="1">
        <m/>
      </sharedItems>
    </cacheField>
    <cacheField name=" 33" numFmtId="0">
      <sharedItems containsString="0" containsBlank="1">
        <m/>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G352" sheet="Summary Per Team"/>
  </cacheSource>
  <cacheFields>
    <cacheField name="Team" numFmtId="0">
      <sharedItems>
        <s v="Atrium"/>
        <s v="Unix"/>
        <s v="Samaritan"/>
        <s v="Contech"/>
        <s v="Kraken"/>
        <s v="Cerberus"/>
        <s v="Coruscant"/>
        <s v="Korriban"/>
        <s v="Design System"/>
        <s v="GhostBusters"/>
        <s v="MythBusters"/>
        <s v="Minerva"/>
        <s v="Mobile West"/>
        <s v="Mobile Cartel"/>
        <s v="Mobile East"/>
        <s v="Pirate Squad"/>
        <s v="Skeletors"/>
        <s v="Liron"/>
        <s v="ScaleUp"/>
        <s v="Valorem"/>
        <s v="Vikings - SMS"/>
        <s v="Vikings - WhatsApp"/>
        <s v="Byte Masters"/>
        <s v="DataForce"/>
        <s v="QMechanics"/>
        <s v="Mobile"/>
        <s v="Pirates"/>
        <s v="Scalability"/>
        <s v="Vikings"/>
        <s v="DevOps"/>
      </sharedItems>
    </cacheField>
    <cacheField name="Month" numFmtId="0">
      <sharedItems containsSemiMixedTypes="0" containsString="0" containsNumber="1" containsInteger="1">
        <n v="1.0"/>
        <n v="2.0"/>
        <n v="3.0"/>
        <n v="4.0"/>
        <n v="5.0"/>
        <n v="6.0"/>
        <n v="7.0"/>
        <n v="8.0"/>
        <n v="9.0"/>
        <n v="10.0"/>
        <n v="11.0"/>
        <n v="12.0"/>
      </sharedItems>
    </cacheField>
    <cacheField name="Release Efficiency" numFmtId="9">
      <sharedItems containsString="0" containsBlank="1" containsNumber="1">
        <n v="0.1218954248366013"/>
        <m/>
      </sharedItems>
    </cacheField>
    <cacheField name="Shipping Accuracy" numFmtId="166">
      <sharedItems containsString="0" containsBlank="1" containsNumber="1">
        <n v="0.48"/>
        <n v="0.63"/>
        <n v="0.73"/>
        <n v="0.64"/>
        <n v="0.89"/>
        <n v="0.35"/>
        <n v="0.57"/>
        <n v="0.69"/>
        <n v="0.61"/>
        <m/>
        <n v="0.45"/>
        <n v="0.59"/>
        <n v="0.55"/>
        <n v="0.58"/>
        <n v="0.54"/>
        <n v="0.79"/>
        <n v="0.65"/>
        <n v="0.56"/>
        <n v="0.67"/>
        <n v="0.71"/>
        <n v="0.78"/>
        <n v="0.92"/>
        <n v="0.74"/>
        <n v="0.7"/>
        <n v="0.47"/>
        <n v="0.81"/>
        <n v="0.82"/>
        <n v="0.8"/>
        <n v="1.0"/>
        <n v="0.83"/>
        <n v="0.93"/>
        <n v="0.97"/>
        <n v="0.96"/>
        <n v="0.99"/>
        <n v="0.72"/>
        <n v="0.84"/>
        <n v="0.85"/>
        <n v="1.02"/>
        <n v="0.9"/>
        <n v="0.98"/>
        <n v="0.91"/>
        <n v="0.95"/>
        <n v="0.0"/>
        <n v="0.07"/>
        <n v="0.19"/>
        <n v="0.26"/>
        <n v="0.2"/>
        <n v="0.08"/>
        <n v="0.25"/>
        <n v="0.62"/>
        <n v="0.76"/>
        <n v="0.68"/>
        <n v="0.53"/>
        <n v="0.75"/>
        <n v="0.77"/>
        <n v="1.01"/>
        <n v="0.94"/>
        <n v="1.04"/>
        <n v="0.66"/>
        <n v="0.34"/>
        <n v="0.88"/>
        <n v="0.52"/>
        <n v="0.33"/>
        <n v="0.24"/>
        <n v="0.38"/>
        <n v="0.6"/>
        <n v="0.36"/>
        <n v="0.27"/>
        <n v="0.29"/>
        <n v="0.39"/>
        <n v="0.46"/>
        <n v="0.765"/>
        <n v="0.625"/>
        <n v="0.937"/>
        <n v="0.883"/>
        <n v="0.897"/>
        <n v="0.505"/>
        <n v="0.635"/>
        <n v="0.725"/>
        <n v="0.715"/>
        <n v="0.675"/>
        <n v="0.743"/>
        <n v="0.727"/>
        <n v="0.843"/>
        <n v="0.87"/>
        <n v="0.777"/>
        <n v="0.927"/>
        <n v="0.3"/>
        <n v="0.395"/>
        <n v="0.563"/>
        <n v="0.607"/>
        <n v="0.4"/>
        <n v="0.815"/>
        <n v="0.695"/>
        <n v="0.835"/>
      </sharedItems>
    </cacheField>
    <cacheField name="Bug/Development Ratio" numFmtId="166">
      <sharedItems containsString="0" containsBlank="1" containsNumber="1">
        <n v="0.1"/>
        <n v="0.13"/>
        <n v="0.21"/>
        <n v="0.25"/>
        <n v="0.29"/>
        <n v="0.36"/>
        <n v="0.28"/>
        <n v="0.34"/>
        <n v="0.3"/>
        <m/>
        <n v="0.15"/>
        <n v="0.2"/>
        <n v="0.27"/>
        <n v="0.19"/>
        <n v="0.22"/>
        <n v="0.14"/>
        <n v="0.32"/>
        <n v="0.18"/>
        <n v="0.31"/>
        <n v="0.11"/>
        <n v="0.4"/>
        <n v="0.38"/>
        <n v="0.37"/>
        <n v="0.45"/>
        <n v="0.44"/>
        <n v="0.16"/>
        <n v="0.26"/>
        <n v="0.43"/>
        <n v="0.63"/>
        <n v="0.57"/>
        <n v="0.54"/>
        <n v="0.0"/>
        <n v="0.46"/>
        <n v="0.33"/>
        <n v="0.65"/>
        <n v="0.53"/>
        <n v="0.41"/>
        <n v="0.51"/>
        <n v="0.23"/>
        <n v="0.04"/>
        <n v="0.02"/>
        <n v="0.07"/>
        <n v="0.39"/>
        <n v="0.17"/>
        <n v="0.24"/>
        <n v="0.48"/>
        <n v="0.42"/>
        <n v="0.01"/>
        <n v="0.03"/>
        <n v="0.5"/>
        <n v="0.52"/>
        <n v="0.06"/>
        <n v="0.92"/>
        <n v="0.71"/>
        <n v="0.35"/>
        <n v="0.12"/>
        <n v="0.08"/>
        <n v="0.05"/>
        <n v="0.145"/>
        <n v="0.195"/>
        <n v="0.235"/>
        <n v="0.183"/>
        <n v="0.327"/>
        <n v="0.375"/>
        <n v="0.243"/>
        <n v="0.143"/>
        <n v="0.497"/>
        <n v="0.175"/>
        <n v="0.205"/>
        <n v="0.405"/>
        <n v="0.455"/>
        <n v="0.435"/>
        <n v="0.337"/>
        <n v="0.287"/>
        <n v="0.193"/>
        <n v="0.277"/>
        <n v="0.353"/>
        <n v="0.443"/>
        <n v="0.285"/>
        <n v="0.217"/>
        <n v="0.257"/>
        <n v="0.155"/>
        <n v="0.225"/>
      </sharedItems>
    </cacheField>
    <cacheField name="Planning Accuracy" numFmtId="166">
      <sharedItems containsString="0" containsBlank="1" containsNumber="1">
        <n v="0.79"/>
        <n v="0.71"/>
        <n v="1.03"/>
        <n v="0.69"/>
        <n v="0.81"/>
        <n v="0.5"/>
        <n v="0.51"/>
        <n v="0.75"/>
        <n v="0.41"/>
        <m/>
        <n v="0.78"/>
        <n v="0.9"/>
        <n v="0.97"/>
        <n v="0.85"/>
        <n v="0.95"/>
        <n v="1.0"/>
        <n v="0.83"/>
        <n v="0.99"/>
        <n v="0.91"/>
        <n v="0.98"/>
        <n v="0.94"/>
        <n v="0.74"/>
        <n v="0.67"/>
        <n v="0.89"/>
        <n v="0.87"/>
        <n v="0.65"/>
        <n v="0.73"/>
        <n v="0.86"/>
        <n v="0.88"/>
        <n v="0.61"/>
        <n v="0.68"/>
        <n v="0.76"/>
        <n v="0.42"/>
        <n v="1.01"/>
        <n v="0.82"/>
        <n v="0.72"/>
        <n v="0.92"/>
        <n v="1.04"/>
        <n v="0.8"/>
        <n v="0.64"/>
        <n v="0.84"/>
        <n v="0.53"/>
        <n v="1.05"/>
        <n v="1.11"/>
        <n v="1.17"/>
        <n v="0.96"/>
        <n v="0.62"/>
        <n v="0.57"/>
        <n v="0.93"/>
        <n v="0.47"/>
        <n v="0.56"/>
        <n v="0.32"/>
        <n v="0.77"/>
        <n v="0.7"/>
        <n v="0.3"/>
        <n v="0.59"/>
        <n v="0.39"/>
        <n v="0.46"/>
        <n v="1.02"/>
        <n v="1.1"/>
        <n v="0.43"/>
        <n v="0.6"/>
        <n v="0.885"/>
        <n v="0.905"/>
        <n v="0.985"/>
        <n v="0.753"/>
        <n v="1.033"/>
        <n v="0.893"/>
        <n v="0.827"/>
        <n v="0.857"/>
        <n v="0.717"/>
        <n v="0.715"/>
        <n v="0.445"/>
        <n v="0.765"/>
        <n v="0.787"/>
        <n v="0.63"/>
        <n v="0.793"/>
        <n v="0.915"/>
        <n v="0.845"/>
        <n v="0.973"/>
        <n v="0.813"/>
        <n v="0.805"/>
        <n v="0.865"/>
        <n v="0.775"/>
      </sharedItems>
    </cacheField>
    <cacheField name="Sprint Goal Success" numFmtId="9">
      <sharedItems containsString="0" containsBlank="1" containsNumber="1">
        <n v="0.65"/>
        <n v="0.775"/>
        <n v="0.95"/>
        <n v="0.85"/>
        <n v="1.0"/>
        <n v="0.425"/>
        <n v="0.25"/>
        <m/>
        <n v="0.3"/>
        <n v="0.53"/>
        <n v="0.766"/>
        <n v="0.925"/>
        <n v="0.93"/>
        <n v="0.9"/>
        <n v="0.575"/>
        <n v="0.15"/>
        <n v="0.71"/>
        <n v="0.5"/>
        <n v="0.77"/>
        <n v="0.533"/>
        <n v="0.225"/>
        <n v="0.0"/>
        <n v="0.67"/>
        <n v="0.666"/>
        <n v="0.33"/>
        <n v="0.62"/>
        <n v="0.58"/>
        <n v="0.51"/>
        <n v="0.83"/>
        <n v="0.48"/>
        <n v="0.61"/>
        <n v="0.88"/>
        <n v="0.72"/>
        <n v="0.73"/>
        <n v="0.86"/>
        <n v="0.75"/>
        <n v="0.54"/>
        <n v="0.56"/>
        <n v="0.39"/>
        <n v="0.46"/>
        <n v="0.42"/>
        <n v="0.81"/>
        <n v="0.79"/>
        <n v="0.4"/>
        <n v="0.76"/>
        <n v="0.84"/>
      </sharedItems>
    </cacheField>
  </cacheFields>
</pivotCacheDefinition>
</file>

<file path=xl/pivotCache/pivotCacheDefinition3.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G500" sheet="Summary Per Team"/>
  </cacheSource>
  <cacheFields>
    <cacheField name="Team" numFmtId="0">
      <sharedItems containsBlank="1">
        <s v="Atrium"/>
        <s v="Unix"/>
        <s v="Samaritan"/>
        <s v="Contech"/>
        <s v="Kraken"/>
        <s v="Cerberus"/>
        <s v="Coruscant"/>
        <s v="Korriban"/>
        <s v="Design System"/>
        <s v="GhostBusters"/>
        <s v="MythBusters"/>
        <s v="Minerva"/>
        <s v="Mobile West"/>
        <s v="Mobile Cartel"/>
        <s v="Mobile East"/>
        <s v="Pirate Squad"/>
        <s v="Skeletors"/>
        <s v="Liron"/>
        <s v="ScaleUp"/>
        <s v="Valorem"/>
        <s v="Vikings - SMS"/>
        <s v="Vikings - WhatsApp"/>
        <s v="Byte Masters"/>
        <s v="DataForce"/>
        <s v="QMechanics"/>
        <s v="Mobile"/>
        <s v="Pirates"/>
        <s v="Scalability"/>
        <s v="Vikings"/>
        <s v="DevOps"/>
        <s v="Paracetamol"/>
        <s v="Griffin "/>
        <m/>
      </sharedItems>
    </cacheField>
    <cacheField name="Month" numFmtId="0">
      <sharedItems containsString="0" containsBlank="1" containsNumber="1" containsInteger="1">
        <n v="1.0"/>
        <n v="2.0"/>
        <n v="3.0"/>
        <n v="4.0"/>
        <n v="5.0"/>
        <n v="6.0"/>
        <n v="7.0"/>
        <n v="8.0"/>
        <n v="9.0"/>
        <n v="10.0"/>
        <n v="11.0"/>
        <n v="12.0"/>
        <m/>
      </sharedItems>
    </cacheField>
    <cacheField name="Release Efficiency" numFmtId="9">
      <sharedItems containsString="0" containsBlank="1" containsNumber="1">
        <n v="0.1218954248366013"/>
        <m/>
      </sharedItems>
    </cacheField>
    <cacheField name="Shipping Accuracy" numFmtId="166">
      <sharedItems containsString="0" containsBlank="1" containsNumber="1">
        <n v="0.48"/>
        <n v="0.63"/>
        <n v="0.73"/>
        <n v="0.64"/>
        <n v="0.89"/>
        <n v="0.35"/>
        <n v="0.57"/>
        <n v="0.69"/>
        <n v="0.61"/>
        <m/>
        <n v="0.45"/>
        <n v="0.59"/>
        <n v="0.55"/>
        <n v="0.58"/>
        <n v="0.54"/>
        <n v="0.79"/>
        <n v="0.65"/>
        <n v="0.56"/>
        <n v="0.67"/>
        <n v="0.71"/>
        <n v="0.78"/>
        <n v="0.92"/>
        <n v="0.74"/>
        <n v="0.7"/>
        <n v="0.47"/>
        <n v="0.81"/>
        <n v="0.82"/>
        <n v="0.8"/>
        <n v="1.0"/>
        <n v="0.83"/>
        <n v="0.93"/>
        <n v="0.97"/>
        <n v="0.96"/>
        <n v="0.99"/>
        <n v="0.72"/>
        <n v="0.84"/>
        <n v="0.85"/>
        <n v="1.02"/>
        <n v="0.9"/>
        <n v="0.98"/>
        <n v="0.91"/>
        <n v="0.95"/>
        <n v="0.0"/>
        <n v="0.07"/>
        <n v="0.19"/>
        <n v="0.26"/>
        <n v="0.2"/>
        <n v="0.08"/>
        <n v="0.25"/>
        <n v="0.62"/>
        <n v="0.76"/>
        <n v="0.68"/>
        <n v="0.53"/>
        <n v="0.75"/>
        <n v="0.77"/>
        <n v="1.01"/>
        <n v="0.94"/>
        <n v="1.04"/>
        <n v="0.66"/>
        <n v="0.34"/>
        <n v="0.88"/>
        <n v="0.52"/>
        <n v="0.33"/>
        <n v="0.24"/>
        <n v="0.38"/>
        <n v="0.6"/>
        <n v="0.36"/>
        <n v="0.27"/>
        <n v="0.29"/>
        <n v="0.39"/>
        <n v="0.46"/>
        <n v="0.765"/>
        <n v="0.625"/>
        <n v="0.937"/>
        <n v="0.883"/>
        <n v="0.897"/>
        <n v="0.505"/>
        <n v="0.635"/>
        <n v="0.725"/>
        <n v="0.715"/>
        <n v="0.675"/>
        <n v="0.743"/>
        <n v="0.727"/>
        <n v="0.843"/>
        <n v="0.87"/>
        <n v="0.777"/>
        <n v="0.927"/>
        <n v="0.3"/>
        <n v="0.395"/>
        <n v="0.563"/>
        <n v="0.607"/>
        <n v="0.4"/>
        <n v="0.815"/>
        <n v="0.695"/>
        <n v="0.835"/>
        <n v="0.13"/>
      </sharedItems>
    </cacheField>
    <cacheField name="Bug/Development Ratio" numFmtId="166">
      <sharedItems containsString="0" containsBlank="1" containsNumber="1">
        <n v="0.1"/>
        <n v="0.13"/>
        <n v="0.21"/>
        <n v="0.25"/>
        <n v="0.29"/>
        <n v="0.36"/>
        <n v="0.28"/>
        <n v="0.34"/>
        <n v="0.3"/>
        <m/>
        <n v="0.15"/>
        <n v="0.2"/>
        <n v="0.27"/>
        <n v="0.19"/>
        <n v="0.22"/>
        <n v="0.14"/>
        <n v="0.32"/>
        <n v="0.18"/>
        <n v="0.31"/>
        <n v="0.11"/>
        <n v="0.4"/>
        <n v="0.38"/>
        <n v="0.37"/>
        <n v="0.45"/>
        <n v="0.44"/>
        <n v="0.16"/>
        <n v="0.26"/>
        <n v="0.43"/>
        <n v="0.63"/>
        <n v="0.57"/>
        <n v="0.54"/>
        <n v="0.0"/>
        <n v="0.46"/>
        <n v="0.33"/>
        <n v="0.65"/>
        <n v="0.53"/>
        <n v="0.41"/>
        <n v="0.51"/>
        <n v="0.23"/>
        <n v="0.04"/>
        <n v="0.02"/>
        <n v="0.07"/>
        <n v="0.39"/>
        <n v="0.17"/>
        <n v="0.24"/>
        <n v="0.48"/>
        <n v="0.42"/>
        <n v="0.01"/>
        <n v="0.03"/>
        <n v="0.5"/>
        <n v="0.52"/>
        <n v="0.06"/>
        <n v="0.92"/>
        <n v="0.71"/>
        <n v="0.35"/>
        <n v="0.12"/>
        <n v="0.08"/>
        <n v="0.05"/>
        <n v="0.145"/>
        <n v="0.195"/>
        <n v="0.235"/>
        <n v="0.183"/>
        <n v="0.327"/>
        <n v="0.375"/>
        <n v="0.243"/>
        <n v="0.143"/>
        <n v="0.497"/>
        <n v="0.175"/>
        <n v="0.205"/>
        <n v="0.405"/>
        <n v="0.455"/>
        <n v="0.435"/>
        <n v="0.337"/>
        <n v="0.287"/>
        <n v="0.193"/>
        <n v="0.277"/>
        <n v="0.353"/>
        <n v="0.443"/>
        <n v="0.285"/>
        <n v="0.217"/>
        <n v="0.257"/>
        <n v="0.155"/>
        <n v="0.225"/>
      </sharedItems>
    </cacheField>
    <cacheField name="Planning Accuracy" numFmtId="166">
      <sharedItems containsString="0" containsBlank="1" containsNumber="1">
        <n v="0.79"/>
        <n v="0.71"/>
        <n v="1.03"/>
        <n v="0.69"/>
        <n v="0.81"/>
        <n v="0.5"/>
        <n v="0.51"/>
        <n v="0.75"/>
        <n v="0.41"/>
        <m/>
        <n v="0.78"/>
        <n v="0.9"/>
        <n v="0.97"/>
        <n v="0.85"/>
        <n v="0.95"/>
        <n v="1.0"/>
        <n v="0.83"/>
        <n v="0.99"/>
        <n v="0.91"/>
        <n v="0.98"/>
        <n v="0.94"/>
        <n v="0.74"/>
        <n v="0.67"/>
        <n v="0.89"/>
        <n v="0.87"/>
        <n v="0.65"/>
        <n v="0.73"/>
        <n v="0.86"/>
        <n v="0.88"/>
        <n v="0.61"/>
        <n v="0.68"/>
        <n v="0.76"/>
        <n v="0.42"/>
        <n v="1.01"/>
        <n v="0.82"/>
        <n v="0.72"/>
        <n v="0.92"/>
        <n v="1.04"/>
        <n v="0.8"/>
        <n v="0.64"/>
        <n v="0.84"/>
        <n v="0.53"/>
        <n v="1.05"/>
        <n v="1.11"/>
        <n v="1.17"/>
        <n v="0.96"/>
        <n v="0.62"/>
        <n v="0.57"/>
        <n v="0.93"/>
        <n v="0.47"/>
        <n v="0.56"/>
        <n v="0.32"/>
        <n v="0.77"/>
        <n v="0.7"/>
        <n v="0.3"/>
        <n v="0.59"/>
        <n v="0.39"/>
        <n v="0.46"/>
        <n v="1.02"/>
        <n v="1.1"/>
        <n v="0.43"/>
        <n v="0.6"/>
        <n v="0.885"/>
        <n v="0.905"/>
        <n v="0.985"/>
        <n v="0.753"/>
        <n v="1.033"/>
        <n v="0.893"/>
        <n v="0.827"/>
        <n v="0.857"/>
        <n v="0.717"/>
        <n v="0.715"/>
        <n v="0.445"/>
        <n v="0.765"/>
        <n v="0.787"/>
        <n v="0.63"/>
        <n v="0.793"/>
        <n v="0.915"/>
        <n v="0.845"/>
        <n v="0.973"/>
        <n v="0.813"/>
        <n v="0.805"/>
        <n v="0.865"/>
        <n v="0.775"/>
        <n v="0.45"/>
        <n v="0.58"/>
        <n v="0.33"/>
      </sharedItems>
    </cacheField>
    <cacheField name="Sprint Goal Success" numFmtId="9">
      <sharedItems containsString="0" containsBlank="1" containsNumber="1">
        <n v="0.65"/>
        <n v="0.775"/>
        <n v="0.95"/>
        <n v="0.85"/>
        <n v="1.0"/>
        <n v="0.425"/>
        <n v="0.25"/>
        <m/>
        <n v="0.3"/>
        <n v="0.53"/>
        <n v="0.766"/>
        <n v="0.925"/>
        <n v="0.93"/>
        <n v="0.9"/>
        <n v="0.575"/>
        <n v="0.15"/>
        <n v="0.71"/>
        <n v="0.5"/>
        <n v="0.77"/>
        <n v="0.533"/>
        <n v="0.225"/>
        <n v="0.0"/>
        <n v="0.67"/>
        <n v="0.666"/>
        <n v="0.33"/>
        <n v="0.62"/>
        <n v="0.58"/>
        <n v="0.51"/>
        <n v="0.83"/>
        <n v="0.48"/>
        <n v="0.61"/>
        <n v="0.88"/>
        <n v="0.72"/>
        <n v="0.73"/>
        <n v="0.86"/>
        <n v="0.75"/>
        <n v="0.54"/>
        <n v="0.56"/>
        <n v="0.39"/>
        <n v="0.46"/>
        <n v="0.42"/>
        <n v="0.81"/>
        <n v="0.79"/>
        <n v="0.4"/>
        <n v="0.76"/>
        <n v="0.84"/>
      </sharedItems>
    </cacheField>
  </cacheFields>
</pivotCacheDefinition>
</file>

<file path=xl/pivotCache/pivotCacheDefinition4.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G506" sheet="Summary Per Team"/>
  </cacheSource>
  <cacheFields>
    <cacheField name="Team" numFmtId="0">
      <sharedItems containsBlank="1">
        <s v="Atrium"/>
        <s v="Unix"/>
        <s v="Samaritan"/>
        <s v="Contech"/>
        <s v="Kraken"/>
        <s v="Cerberus"/>
        <s v="Coruscant"/>
        <s v="Korriban"/>
        <s v="Design System"/>
        <s v="GhostBusters"/>
        <s v="MythBusters"/>
        <s v="Minerva"/>
        <s v="Mobile West"/>
        <s v="Mobile Cartel"/>
        <s v="Mobile East"/>
        <s v="Pirate Squad"/>
        <s v="Skeletors"/>
        <s v="Liron"/>
        <s v="ScaleUp"/>
        <s v="Valorem"/>
        <s v="Vikings - SMS"/>
        <s v="Vikings - WhatsApp"/>
        <s v="Byte Masters"/>
        <s v="DataForce"/>
        <s v="QMechanics"/>
        <s v="Mobile"/>
        <s v="Pirates"/>
        <s v="Scalability"/>
        <s v="Vikings"/>
        <s v="DevOps"/>
        <s v="Paracetamol"/>
        <s v="Griffin "/>
        <m/>
      </sharedItems>
    </cacheField>
    <cacheField name="Month" numFmtId="0">
      <sharedItems containsString="0" containsBlank="1" containsNumber="1" containsInteger="1">
        <n v="1.0"/>
        <n v="2.0"/>
        <n v="3.0"/>
        <n v="4.0"/>
        <n v="5.0"/>
        <n v="6.0"/>
        <n v="7.0"/>
        <n v="8.0"/>
        <n v="9.0"/>
        <n v="10.0"/>
        <n v="11.0"/>
        <n v="12.0"/>
        <m/>
      </sharedItems>
    </cacheField>
    <cacheField name="Release Efficiency" numFmtId="9">
      <sharedItems containsString="0" containsBlank="1" containsNumber="1">
        <n v="0.1218954248366013"/>
        <m/>
      </sharedItems>
    </cacheField>
    <cacheField name="Shipping Accuracy" numFmtId="166">
      <sharedItems containsString="0" containsBlank="1" containsNumber="1">
        <n v="0.48"/>
        <n v="0.63"/>
        <n v="0.73"/>
        <n v="0.64"/>
        <n v="0.89"/>
        <n v="0.35"/>
        <n v="0.57"/>
        <n v="0.69"/>
        <n v="0.61"/>
        <m/>
        <n v="0.45"/>
        <n v="0.59"/>
        <n v="0.55"/>
        <n v="0.58"/>
        <n v="0.54"/>
        <n v="0.79"/>
        <n v="0.65"/>
        <n v="0.56"/>
        <n v="0.67"/>
        <n v="0.71"/>
        <n v="0.78"/>
        <n v="0.92"/>
        <n v="0.74"/>
        <n v="0.7"/>
        <n v="0.47"/>
        <n v="0.81"/>
        <n v="0.82"/>
        <n v="0.8"/>
        <n v="1.0"/>
        <n v="0.83"/>
        <n v="0.93"/>
        <n v="0.97"/>
        <n v="0.96"/>
        <n v="0.99"/>
        <n v="0.72"/>
        <n v="0.84"/>
        <n v="0.85"/>
        <n v="1.02"/>
        <n v="0.9"/>
        <n v="0.98"/>
        <n v="0.91"/>
        <n v="0.95"/>
        <n v="0.0"/>
        <n v="0.07"/>
        <n v="0.19"/>
        <n v="0.26"/>
        <n v="0.2"/>
        <n v="0.08"/>
        <n v="0.25"/>
        <n v="0.62"/>
        <n v="0.76"/>
        <n v="0.68"/>
        <n v="0.53"/>
        <n v="0.75"/>
        <n v="0.77"/>
        <n v="1.01"/>
        <n v="0.94"/>
        <n v="1.04"/>
        <n v="0.66"/>
        <n v="0.34"/>
        <n v="0.88"/>
        <n v="0.52"/>
        <n v="0.33"/>
        <n v="0.24"/>
        <n v="0.38"/>
        <n v="0.6"/>
        <n v="0.36"/>
        <n v="0.27"/>
        <n v="0.29"/>
        <n v="0.39"/>
        <n v="0.46"/>
        <n v="0.765"/>
        <n v="0.625"/>
        <n v="0.937"/>
        <n v="0.883"/>
        <n v="0.897"/>
        <n v="0.505"/>
        <n v="0.635"/>
        <n v="0.725"/>
        <n v="0.715"/>
        <n v="0.675"/>
        <n v="0.743"/>
        <n v="0.727"/>
        <n v="0.843"/>
        <n v="0.87"/>
        <n v="0.777"/>
        <n v="0.927"/>
        <n v="0.3"/>
        <n v="0.395"/>
        <n v="0.563"/>
        <n v="0.607"/>
        <n v="0.4"/>
        <n v="0.815"/>
        <n v="0.695"/>
        <n v="0.835"/>
        <n v="0.13"/>
      </sharedItems>
    </cacheField>
    <cacheField name="Bug/Development Ratio" numFmtId="166">
      <sharedItems containsString="0" containsBlank="1" containsNumber="1">
        <n v="0.1"/>
        <n v="0.13"/>
        <n v="0.21"/>
        <n v="0.25"/>
        <n v="0.29"/>
        <n v="0.36"/>
        <n v="0.28"/>
        <n v="0.34"/>
        <n v="0.3"/>
        <m/>
        <n v="0.15"/>
        <n v="0.2"/>
        <n v="0.27"/>
        <n v="0.19"/>
        <n v="0.22"/>
        <n v="0.14"/>
        <n v="0.32"/>
        <n v="0.18"/>
        <n v="0.31"/>
        <n v="0.11"/>
        <n v="0.4"/>
        <n v="0.38"/>
        <n v="0.37"/>
        <n v="0.45"/>
        <n v="0.44"/>
        <n v="0.16"/>
        <n v="0.26"/>
        <n v="0.43"/>
        <n v="0.63"/>
        <n v="0.57"/>
        <n v="0.54"/>
        <n v="0.0"/>
        <n v="0.46"/>
        <n v="0.33"/>
        <n v="0.65"/>
        <n v="0.53"/>
        <n v="0.41"/>
        <n v="0.51"/>
        <n v="0.23"/>
        <n v="0.04"/>
        <n v="0.02"/>
        <n v="0.07"/>
        <n v="0.39"/>
        <n v="0.17"/>
        <n v="0.24"/>
        <n v="0.48"/>
        <n v="0.42"/>
        <n v="0.01"/>
        <n v="0.03"/>
        <n v="0.5"/>
        <n v="0.52"/>
        <n v="0.06"/>
        <n v="0.92"/>
        <n v="0.71"/>
        <n v="0.35"/>
        <n v="0.12"/>
        <n v="0.08"/>
        <n v="0.05"/>
        <n v="0.145"/>
        <n v="0.195"/>
        <n v="0.235"/>
        <n v="0.183"/>
        <n v="0.327"/>
        <n v="0.375"/>
        <n v="0.243"/>
        <n v="0.143"/>
        <n v="0.497"/>
        <n v="0.175"/>
        <n v="0.205"/>
        <n v="0.405"/>
        <n v="0.455"/>
        <n v="0.435"/>
        <n v="0.337"/>
        <n v="0.287"/>
        <n v="0.193"/>
        <n v="0.277"/>
        <n v="0.353"/>
        <n v="0.443"/>
        <n v="0.285"/>
        <n v="0.217"/>
        <n v="0.257"/>
        <n v="0.155"/>
        <n v="0.225"/>
      </sharedItems>
    </cacheField>
    <cacheField name="Planning Accuracy" numFmtId="166">
      <sharedItems containsString="0" containsBlank="1" containsNumber="1">
        <n v="0.79"/>
        <n v="0.71"/>
        <n v="1.03"/>
        <n v="0.69"/>
        <n v="0.81"/>
        <n v="0.5"/>
        <n v="0.51"/>
        <n v="0.75"/>
        <n v="0.41"/>
        <m/>
        <n v="0.78"/>
        <n v="0.9"/>
        <n v="0.97"/>
        <n v="0.85"/>
        <n v="0.95"/>
        <n v="1.0"/>
        <n v="0.83"/>
        <n v="0.99"/>
        <n v="0.91"/>
        <n v="0.98"/>
        <n v="0.94"/>
        <n v="0.74"/>
        <n v="0.67"/>
        <n v="0.89"/>
        <n v="0.87"/>
        <n v="0.65"/>
        <n v="0.73"/>
        <n v="0.86"/>
        <n v="0.88"/>
        <n v="0.61"/>
        <n v="0.68"/>
        <n v="0.76"/>
        <n v="0.42"/>
        <n v="1.01"/>
        <n v="0.82"/>
        <n v="0.72"/>
        <n v="0.92"/>
        <n v="1.04"/>
        <n v="0.8"/>
        <n v="0.64"/>
        <n v="0.84"/>
        <n v="0.53"/>
        <n v="1.05"/>
        <n v="1.11"/>
        <n v="1.17"/>
        <n v="0.96"/>
        <n v="0.62"/>
        <n v="0.57"/>
        <n v="0.93"/>
        <n v="0.47"/>
        <n v="0.56"/>
        <n v="0.32"/>
        <n v="0.77"/>
        <n v="0.7"/>
        <n v="0.3"/>
        <n v="0.59"/>
        <n v="0.39"/>
        <n v="0.46"/>
        <n v="1.02"/>
        <n v="1.1"/>
        <n v="0.43"/>
        <n v="0.6"/>
        <n v="0.885"/>
        <n v="0.905"/>
        <n v="0.985"/>
        <n v="0.753"/>
        <n v="1.033"/>
        <n v="0.893"/>
        <n v="0.827"/>
        <n v="0.857"/>
        <n v="0.717"/>
        <n v="0.715"/>
        <n v="0.445"/>
        <n v="0.765"/>
        <n v="0.787"/>
        <n v="0.63"/>
        <n v="0.793"/>
        <n v="0.915"/>
        <n v="0.845"/>
        <n v="0.973"/>
        <n v="0.813"/>
        <n v="0.805"/>
        <n v="0.865"/>
        <n v="0.775"/>
        <n v="0.45"/>
        <n v="0.58"/>
        <n v="0.33"/>
      </sharedItems>
    </cacheField>
    <cacheField name="Sprint Goal Success" numFmtId="9">
      <sharedItems containsString="0" containsBlank="1" containsNumber="1">
        <n v="0.65"/>
        <n v="0.775"/>
        <n v="0.95"/>
        <n v="0.85"/>
        <n v="1.0"/>
        <n v="0.425"/>
        <n v="0.25"/>
        <m/>
        <n v="0.3"/>
        <n v="0.53"/>
        <n v="0.766"/>
        <n v="0.925"/>
        <n v="0.93"/>
        <n v="0.9"/>
        <n v="0.575"/>
        <n v="0.15"/>
        <n v="0.71"/>
        <n v="0.5"/>
        <n v="0.77"/>
        <n v="0.533"/>
        <n v="0.225"/>
        <n v="0.0"/>
        <n v="0.67"/>
        <n v="0.666"/>
        <n v="0.33"/>
        <n v="0.62"/>
        <n v="0.58"/>
        <n v="0.51"/>
        <n v="0.83"/>
        <n v="0.48"/>
        <n v="0.61"/>
        <n v="0.88"/>
        <n v="0.72"/>
        <n v="0.73"/>
        <n v="0.86"/>
        <n v="0.75"/>
        <n v="0.54"/>
        <n v="0.56"/>
        <n v="0.39"/>
        <n v="0.46"/>
        <n v="0.42"/>
        <n v="0.81"/>
        <n v="0.79"/>
        <n v="0.4"/>
        <n v="0.76"/>
        <n v="0.84"/>
      </sharedItems>
    </cacheField>
  </cacheFields>
</pivotCacheDefinition>
</file>

<file path=xl/pivotCache/pivotCacheDefinition5.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G540" sheet="Summary Per Team"/>
  </cacheSource>
  <cacheFields>
    <cacheField name="Team" numFmtId="0">
      <sharedItems containsBlank="1">
        <s v="Atrium"/>
        <s v="Unix"/>
        <s v="Samaritan"/>
        <s v="Contech"/>
        <s v="Kraken"/>
        <s v="Cerberus"/>
        <s v="Coruscant"/>
        <s v="Korriban"/>
        <s v="Design System"/>
        <s v="GhostBusters"/>
        <s v="MythBusters"/>
        <s v="Minerva"/>
        <s v="Mobile West"/>
        <s v="Mobile Cartel"/>
        <s v="Mobile East"/>
        <s v="Pirate Squad"/>
        <s v="Skeletors"/>
        <s v="Liron"/>
        <s v="ScaleUp"/>
        <s v="Valorem"/>
        <s v="Vikings - SMS"/>
        <s v="Vikings - WhatsApp"/>
        <s v="Byte Masters"/>
        <s v="DataForce"/>
        <s v="QMechanics"/>
        <s v="Mobile"/>
        <s v="Pirates"/>
        <s v="Scalability"/>
        <s v="Vikings"/>
        <s v="DevOps"/>
        <s v="Paracetamol"/>
        <s v="Griffin "/>
        <m/>
      </sharedItems>
    </cacheField>
    <cacheField name="Month" numFmtId="0">
      <sharedItems containsString="0" containsBlank="1" containsNumber="1" containsInteger="1">
        <n v="1.0"/>
        <n v="2.0"/>
        <n v="3.0"/>
        <n v="4.0"/>
        <n v="5.0"/>
        <n v="6.0"/>
        <n v="7.0"/>
        <n v="8.0"/>
        <n v="9.0"/>
        <n v="10.0"/>
        <n v="11.0"/>
        <n v="12.0"/>
        <m/>
      </sharedItems>
    </cacheField>
    <cacheField name="Release Efficiency" numFmtId="9">
      <sharedItems containsString="0" containsBlank="1" containsNumber="1">
        <n v="0.1218954248366013"/>
        <m/>
      </sharedItems>
    </cacheField>
    <cacheField name="Shipping Accuracy" numFmtId="166">
      <sharedItems containsString="0" containsBlank="1" containsNumber="1">
        <n v="0.48"/>
        <n v="0.63"/>
        <n v="0.73"/>
        <n v="0.64"/>
        <n v="0.89"/>
        <n v="0.35"/>
        <n v="0.57"/>
        <n v="0.69"/>
        <n v="0.61"/>
        <m/>
        <n v="0.45"/>
        <n v="0.59"/>
        <n v="0.55"/>
        <n v="0.58"/>
        <n v="0.54"/>
        <n v="0.79"/>
        <n v="0.65"/>
        <n v="0.56"/>
        <n v="0.67"/>
        <n v="0.71"/>
        <n v="0.78"/>
        <n v="0.92"/>
        <n v="0.74"/>
        <n v="0.7"/>
        <n v="0.47"/>
        <n v="0.81"/>
        <n v="0.82"/>
        <n v="0.8"/>
        <n v="1.0"/>
        <n v="0.83"/>
        <n v="0.93"/>
        <n v="0.97"/>
        <n v="0.96"/>
        <n v="0.99"/>
        <n v="0.72"/>
        <n v="0.84"/>
        <n v="0.85"/>
        <n v="1.02"/>
        <n v="0.9"/>
        <n v="0.98"/>
        <n v="0.91"/>
        <n v="0.95"/>
        <n v="0.0"/>
        <n v="0.07"/>
        <n v="0.19"/>
        <n v="0.26"/>
        <n v="0.2"/>
        <n v="0.08"/>
        <n v="0.25"/>
        <n v="0.62"/>
        <n v="0.76"/>
        <n v="0.68"/>
        <n v="0.53"/>
        <n v="0.75"/>
        <n v="0.77"/>
        <n v="1.01"/>
        <n v="0.94"/>
        <n v="1.04"/>
        <n v="0.66"/>
        <n v="0.34"/>
        <n v="0.88"/>
        <n v="0.52"/>
        <n v="0.33"/>
        <n v="0.24"/>
        <n v="0.38"/>
        <n v="0.6"/>
        <n v="0.36"/>
        <n v="0.27"/>
        <n v="0.29"/>
        <n v="0.39"/>
        <n v="0.46"/>
        <n v="0.765"/>
        <n v="0.625"/>
        <n v="0.937"/>
        <n v="0.883"/>
        <n v="0.897"/>
        <n v="0.505"/>
        <n v="0.635"/>
        <n v="0.725"/>
        <n v="0.715"/>
        <n v="0.675"/>
        <n v="0.743"/>
        <n v="0.727"/>
        <n v="0.843"/>
        <n v="0.87"/>
        <n v="0.777"/>
        <n v="0.927"/>
        <n v="0.3"/>
        <n v="0.395"/>
        <n v="0.563"/>
        <n v="0.607"/>
        <n v="0.4"/>
        <n v="0.815"/>
        <n v="0.695"/>
        <n v="0.835"/>
        <n v="0.13"/>
      </sharedItems>
    </cacheField>
    <cacheField name="Bug/Development Ratio" numFmtId="166">
      <sharedItems containsString="0" containsBlank="1" containsNumber="1">
        <n v="0.1"/>
        <n v="0.13"/>
        <n v="0.21"/>
        <n v="0.25"/>
        <n v="0.29"/>
        <n v="0.36"/>
        <n v="0.28"/>
        <n v="0.34"/>
        <n v="0.3"/>
        <m/>
        <n v="0.15"/>
        <n v="0.2"/>
        <n v="0.27"/>
        <n v="0.19"/>
        <n v="0.22"/>
        <n v="0.14"/>
        <n v="0.32"/>
        <n v="0.18"/>
        <n v="0.31"/>
        <n v="0.11"/>
        <n v="0.4"/>
        <n v="0.38"/>
        <n v="0.37"/>
        <n v="0.45"/>
        <n v="0.44"/>
        <n v="0.16"/>
        <n v="0.26"/>
        <n v="0.43"/>
        <n v="0.63"/>
        <n v="0.57"/>
        <n v="0.54"/>
        <n v="0.0"/>
        <n v="0.46"/>
        <n v="0.33"/>
        <n v="0.65"/>
        <n v="0.53"/>
        <n v="0.41"/>
        <n v="0.51"/>
        <n v="0.23"/>
        <n v="0.04"/>
        <n v="0.02"/>
        <n v="0.07"/>
        <n v="0.39"/>
        <n v="0.17"/>
        <n v="0.24"/>
        <n v="0.48"/>
        <n v="0.42"/>
        <n v="0.01"/>
        <n v="0.03"/>
        <n v="0.5"/>
        <n v="0.52"/>
        <n v="0.06"/>
        <n v="0.92"/>
        <n v="0.71"/>
        <n v="0.35"/>
        <n v="0.12"/>
        <n v="0.08"/>
        <n v="0.05"/>
        <n v="0.145"/>
        <n v="0.195"/>
        <n v="0.235"/>
        <n v="0.183"/>
        <n v="0.327"/>
        <n v="0.375"/>
        <n v="0.243"/>
        <n v="0.143"/>
        <n v="0.497"/>
        <n v="0.175"/>
        <n v="0.205"/>
        <n v="0.405"/>
        <n v="0.455"/>
        <n v="0.435"/>
        <n v="0.337"/>
        <n v="0.287"/>
        <n v="0.193"/>
        <n v="0.277"/>
        <n v="0.353"/>
        <n v="0.443"/>
        <n v="0.285"/>
        <n v="0.217"/>
        <n v="0.257"/>
        <n v="0.155"/>
        <n v="0.225"/>
      </sharedItems>
    </cacheField>
    <cacheField name="Planning Accuracy" numFmtId="166">
      <sharedItems containsString="0" containsBlank="1" containsNumber="1">
        <n v="0.79"/>
        <n v="0.71"/>
        <n v="1.03"/>
        <n v="0.69"/>
        <n v="0.81"/>
        <n v="0.5"/>
        <n v="0.51"/>
        <n v="0.75"/>
        <n v="0.41"/>
        <m/>
        <n v="0.78"/>
        <n v="0.9"/>
        <n v="0.97"/>
        <n v="0.85"/>
        <n v="0.95"/>
        <n v="1.0"/>
        <n v="0.83"/>
        <n v="0.99"/>
        <n v="0.91"/>
        <n v="0.98"/>
        <n v="0.94"/>
        <n v="0.74"/>
        <n v="0.67"/>
        <n v="0.89"/>
        <n v="0.87"/>
        <n v="0.65"/>
        <n v="0.73"/>
        <n v="0.86"/>
        <n v="0.88"/>
        <n v="0.61"/>
        <n v="0.68"/>
        <n v="0.76"/>
        <n v="0.42"/>
        <n v="1.01"/>
        <n v="0.82"/>
        <n v="0.72"/>
        <n v="0.92"/>
        <n v="1.04"/>
        <n v="0.8"/>
        <n v="0.64"/>
        <n v="0.84"/>
        <n v="0.53"/>
        <n v="1.05"/>
        <n v="1.11"/>
        <n v="1.17"/>
        <n v="0.96"/>
        <n v="0.62"/>
        <n v="0.57"/>
        <n v="0.93"/>
        <n v="0.47"/>
        <n v="0.56"/>
        <n v="0.32"/>
        <n v="0.77"/>
        <n v="0.7"/>
        <n v="0.3"/>
        <n v="0.59"/>
        <n v="0.39"/>
        <n v="0.46"/>
        <n v="1.02"/>
        <n v="1.1"/>
        <n v="0.43"/>
        <n v="0.6"/>
        <n v="0.885"/>
        <n v="0.905"/>
        <n v="0.985"/>
        <n v="0.753"/>
        <n v="1.033"/>
        <n v="0.893"/>
        <n v="0.827"/>
        <n v="0.857"/>
        <n v="0.717"/>
        <n v="0.715"/>
        <n v="0.445"/>
        <n v="0.765"/>
        <n v="0.787"/>
        <n v="0.63"/>
        <n v="0.793"/>
        <n v="0.915"/>
        <n v="0.845"/>
        <n v="0.973"/>
        <n v="0.813"/>
        <n v="0.805"/>
        <n v="0.865"/>
        <n v="0.775"/>
        <n v="0.45"/>
        <n v="0.58"/>
        <n v="0.33"/>
      </sharedItems>
    </cacheField>
    <cacheField name="Sprint Goal Success" numFmtId="9">
      <sharedItems containsString="0" containsBlank="1" containsNumber="1">
        <n v="0.65"/>
        <n v="0.775"/>
        <n v="0.95"/>
        <n v="0.85"/>
        <n v="1.0"/>
        <n v="0.425"/>
        <n v="0.25"/>
        <m/>
        <n v="0.3"/>
        <n v="0.53"/>
        <n v="0.766"/>
        <n v="0.925"/>
        <n v="0.93"/>
        <n v="0.9"/>
        <n v="0.575"/>
        <n v="0.15"/>
        <n v="0.71"/>
        <n v="0.5"/>
        <n v="0.77"/>
        <n v="0.533"/>
        <n v="0.225"/>
        <n v="0.0"/>
        <n v="0.67"/>
        <n v="0.666"/>
        <n v="0.33"/>
        <n v="0.62"/>
        <n v="0.58"/>
        <n v="0.51"/>
        <n v="0.83"/>
        <n v="0.48"/>
        <n v="0.61"/>
        <n v="0.88"/>
        <n v="0.72"/>
        <n v="0.73"/>
        <n v="0.86"/>
        <n v="0.75"/>
        <n v="0.54"/>
        <n v="0.56"/>
        <n v="0.39"/>
        <n v="0.46"/>
        <n v="0.42"/>
        <n v="0.81"/>
        <n v="0.79"/>
        <n v="0.4"/>
        <n v="0.76"/>
        <n v="0.84"/>
      </sharedItems>
    </cacheField>
  </cacheFields>
</pivotCacheDefinition>
</file>

<file path=xl/pivotCache/pivotCacheDefinition6.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G561" sheet="Summary Per Team"/>
  </cacheSource>
  <cacheFields>
    <cacheField name="Team" numFmtId="0">
      <sharedItems containsBlank="1">
        <s v="Atrium"/>
        <s v="Unix"/>
        <s v="Samaritan"/>
        <s v="Contech"/>
        <s v="Kraken"/>
        <s v="Cerberus"/>
        <s v="Coruscant"/>
        <s v="Korriban"/>
        <s v="Design System"/>
        <s v="GhostBusters"/>
        <s v="MythBusters"/>
        <s v="Minerva"/>
        <s v="Mobile West"/>
        <s v="Mobile Cartel"/>
        <s v="Mobile East"/>
        <s v="Pirate Squad"/>
        <s v="Skeletors"/>
        <s v="Liron"/>
        <s v="ScaleUp"/>
        <s v="Valorem"/>
        <s v="Vikings - SMS"/>
        <s v="Vikings - WhatsApp"/>
        <s v="Byte Masters"/>
        <s v="DataForce"/>
        <s v="QMechanics"/>
        <s v="Mobile"/>
        <s v="Pirates"/>
        <s v="Scalability"/>
        <s v="Vikings"/>
        <s v="DevOps"/>
        <s v="Paracetamol"/>
        <s v="Griffin "/>
        <m/>
      </sharedItems>
    </cacheField>
    <cacheField name="Month" numFmtId="0">
      <sharedItems containsString="0" containsBlank="1" containsNumber="1" containsInteger="1">
        <n v="1.0"/>
        <n v="2.0"/>
        <n v="3.0"/>
        <n v="4.0"/>
        <n v="5.0"/>
        <n v="6.0"/>
        <n v="7.0"/>
        <n v="8.0"/>
        <n v="9.0"/>
        <n v="10.0"/>
        <n v="11.0"/>
        <n v="12.0"/>
        <m/>
      </sharedItems>
    </cacheField>
    <cacheField name="Release Efficiency" numFmtId="9">
      <sharedItems containsString="0" containsBlank="1" containsNumber="1">
        <n v="0.1218954248366013"/>
        <m/>
      </sharedItems>
    </cacheField>
    <cacheField name="Shipping Accuracy" numFmtId="166">
      <sharedItems containsString="0" containsBlank="1" containsNumber="1">
        <n v="0.48"/>
        <n v="0.63"/>
        <n v="0.73"/>
        <n v="0.64"/>
        <n v="0.89"/>
        <n v="0.35"/>
        <n v="0.57"/>
        <n v="0.69"/>
        <n v="0.61"/>
        <m/>
        <n v="0.45"/>
        <n v="0.59"/>
        <n v="0.55"/>
        <n v="0.58"/>
        <n v="0.54"/>
        <n v="0.79"/>
        <n v="0.65"/>
        <n v="0.56"/>
        <n v="0.67"/>
        <n v="0.71"/>
        <n v="0.78"/>
        <n v="0.92"/>
        <n v="0.74"/>
        <n v="0.7"/>
        <n v="0.47"/>
        <n v="0.81"/>
        <n v="0.82"/>
        <n v="0.8"/>
        <n v="1.0"/>
        <n v="0.83"/>
        <n v="0.93"/>
        <n v="0.97"/>
        <n v="0.96"/>
        <n v="0.99"/>
        <n v="0.72"/>
        <n v="0.84"/>
        <n v="0.85"/>
        <n v="1.02"/>
        <n v="0.9"/>
        <n v="0.98"/>
        <n v="0.91"/>
        <n v="0.95"/>
        <n v="0.0"/>
        <n v="0.07"/>
        <n v="0.19"/>
        <n v="0.26"/>
        <n v="0.2"/>
        <n v="0.08"/>
        <n v="0.25"/>
        <n v="0.62"/>
        <n v="0.76"/>
        <n v="0.68"/>
        <n v="0.53"/>
        <n v="0.75"/>
        <n v="0.77"/>
        <n v="1.01"/>
        <n v="0.94"/>
        <n v="1.04"/>
        <n v="0.66"/>
        <n v="0.34"/>
        <n v="0.88"/>
        <n v="0.52"/>
        <n v="0.33"/>
        <n v="0.24"/>
        <n v="0.38"/>
        <n v="0.6"/>
        <n v="0.36"/>
        <n v="0.27"/>
        <n v="0.29"/>
        <n v="0.39"/>
        <n v="0.46"/>
        <n v="0.765"/>
        <n v="0.625"/>
        <n v="0.937"/>
        <n v="0.883"/>
        <n v="0.897"/>
        <n v="0.505"/>
        <n v="0.635"/>
        <n v="0.725"/>
        <n v="0.715"/>
        <n v="0.675"/>
        <n v="0.743"/>
        <n v="0.727"/>
        <n v="0.843"/>
        <n v="0.87"/>
        <n v="0.777"/>
        <n v="0.927"/>
        <n v="0.3"/>
        <n v="0.395"/>
        <n v="0.563"/>
        <n v="0.607"/>
        <n v="0.4"/>
        <n v="0.815"/>
        <n v="0.695"/>
        <n v="0.835"/>
        <n v="0.13"/>
      </sharedItems>
    </cacheField>
    <cacheField name="Bug/Development Ratio" numFmtId="166">
      <sharedItems containsString="0" containsBlank="1" containsNumber="1">
        <n v="0.1"/>
        <n v="0.13"/>
        <n v="0.21"/>
        <n v="0.25"/>
        <n v="0.29"/>
        <n v="0.36"/>
        <n v="0.28"/>
        <n v="0.34"/>
        <n v="0.3"/>
        <m/>
        <n v="0.15"/>
        <n v="0.2"/>
        <n v="0.27"/>
        <n v="0.19"/>
        <n v="0.22"/>
        <n v="0.14"/>
        <n v="0.32"/>
        <n v="0.18"/>
        <n v="0.31"/>
        <n v="0.11"/>
        <n v="0.4"/>
        <n v="0.38"/>
        <n v="0.37"/>
        <n v="0.45"/>
        <n v="0.44"/>
        <n v="0.16"/>
        <n v="0.26"/>
        <n v="0.43"/>
        <n v="0.63"/>
        <n v="0.57"/>
        <n v="0.54"/>
        <n v="0.0"/>
        <n v="0.46"/>
        <n v="0.33"/>
        <n v="0.65"/>
        <n v="0.53"/>
        <n v="0.41"/>
        <n v="0.51"/>
        <n v="0.23"/>
        <n v="0.04"/>
        <n v="0.02"/>
        <n v="0.07"/>
        <n v="0.39"/>
        <n v="0.17"/>
        <n v="0.24"/>
        <n v="0.48"/>
        <n v="0.42"/>
        <n v="0.01"/>
        <n v="0.03"/>
        <n v="0.5"/>
        <n v="0.52"/>
        <n v="0.06"/>
        <n v="0.92"/>
        <n v="0.71"/>
        <n v="0.35"/>
        <n v="0.12"/>
        <n v="0.08"/>
        <n v="0.05"/>
        <n v="0.145"/>
        <n v="0.195"/>
        <n v="0.235"/>
        <n v="0.183"/>
        <n v="0.327"/>
        <n v="0.375"/>
        <n v="0.243"/>
        <n v="0.143"/>
        <n v="0.497"/>
        <n v="0.175"/>
        <n v="0.205"/>
        <n v="0.405"/>
        <n v="0.455"/>
        <n v="0.435"/>
        <n v="0.337"/>
        <n v="0.287"/>
        <n v="0.193"/>
        <n v="0.277"/>
        <n v="0.353"/>
        <n v="0.443"/>
        <n v="0.285"/>
        <n v="0.217"/>
        <n v="0.257"/>
        <n v="0.155"/>
        <n v="0.225"/>
      </sharedItems>
    </cacheField>
    <cacheField name="Planning Accuracy" numFmtId="166">
      <sharedItems containsString="0" containsBlank="1" containsNumber="1">
        <n v="0.79"/>
        <n v="0.71"/>
        <n v="1.03"/>
        <n v="0.69"/>
        <n v="0.81"/>
        <n v="0.5"/>
        <n v="0.51"/>
        <n v="0.75"/>
        <n v="0.41"/>
        <m/>
        <n v="0.78"/>
        <n v="0.9"/>
        <n v="0.97"/>
        <n v="0.85"/>
        <n v="0.95"/>
        <n v="1.0"/>
        <n v="0.83"/>
        <n v="0.99"/>
        <n v="0.91"/>
        <n v="0.98"/>
        <n v="0.94"/>
        <n v="0.74"/>
        <n v="0.67"/>
        <n v="0.89"/>
        <n v="0.87"/>
        <n v="0.65"/>
        <n v="0.73"/>
        <n v="0.86"/>
        <n v="0.88"/>
        <n v="0.61"/>
        <n v="0.68"/>
        <n v="0.76"/>
        <n v="0.42"/>
        <n v="1.01"/>
        <n v="0.82"/>
        <n v="0.72"/>
        <n v="0.92"/>
        <n v="1.04"/>
        <n v="0.8"/>
        <n v="0.64"/>
        <n v="0.84"/>
        <n v="0.53"/>
        <n v="1.05"/>
        <n v="1.11"/>
        <n v="1.17"/>
        <n v="0.96"/>
        <n v="0.62"/>
        <n v="0.57"/>
        <n v="0.93"/>
        <n v="0.47"/>
        <n v="0.56"/>
        <n v="0.32"/>
        <n v="0.77"/>
        <n v="0.7"/>
        <n v="0.3"/>
        <n v="0.59"/>
        <n v="0.39"/>
        <n v="0.46"/>
        <n v="1.02"/>
        <n v="1.1"/>
        <n v="0.43"/>
        <n v="0.6"/>
        <n v="0.885"/>
        <n v="0.905"/>
        <n v="0.985"/>
        <n v="0.753"/>
        <n v="1.033"/>
        <n v="0.893"/>
        <n v="0.827"/>
        <n v="0.857"/>
        <n v="0.717"/>
        <n v="0.715"/>
        <n v="0.445"/>
        <n v="0.765"/>
        <n v="0.787"/>
        <n v="0.63"/>
        <n v="0.793"/>
        <n v="0.915"/>
        <n v="0.845"/>
        <n v="0.973"/>
        <n v="0.813"/>
        <n v="0.805"/>
        <n v="0.865"/>
        <n v="0.775"/>
        <n v="0.45"/>
        <n v="0.58"/>
        <n v="0.33"/>
      </sharedItems>
    </cacheField>
    <cacheField name="Sprint Goal Success" numFmtId="9">
      <sharedItems containsString="0" containsBlank="1" containsNumber="1">
        <n v="0.65"/>
        <n v="0.775"/>
        <n v="0.95"/>
        <n v="0.85"/>
        <n v="1.0"/>
        <n v="0.425"/>
        <n v="0.25"/>
        <m/>
        <n v="0.3"/>
        <n v="0.53"/>
        <n v="0.766"/>
        <n v="0.925"/>
        <n v="0.93"/>
        <n v="0.9"/>
        <n v="0.575"/>
        <n v="0.15"/>
        <n v="0.71"/>
        <n v="0.5"/>
        <n v="0.77"/>
        <n v="0.533"/>
        <n v="0.225"/>
        <n v="0.0"/>
        <n v="0.67"/>
        <n v="0.666"/>
        <n v="0.33"/>
        <n v="0.62"/>
        <n v="0.58"/>
        <n v="0.51"/>
        <n v="0.83"/>
        <n v="0.48"/>
        <n v="0.61"/>
        <n v="0.88"/>
        <n v="0.72"/>
        <n v="0.73"/>
        <n v="0.86"/>
        <n v="0.75"/>
        <n v="0.54"/>
        <n v="0.56"/>
        <n v="0.39"/>
        <n v="0.46"/>
        <n v="0.42"/>
        <n v="0.81"/>
        <n v="0.79"/>
        <n v="0.4"/>
        <n v="0.76"/>
        <n v="0.84"/>
      </sharedItems>
    </cacheField>
  </cacheFields>
</pivotCacheDefinition>
</file>

<file path=xl/pivotCache/pivotCacheDefinition7.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48:AA57" sheet="Liron"/>
  </cacheSource>
  <cacheFields>
    <cacheField name="Individual Committed Effort" numFmtId="0">
      <sharedItems>
        <s v="Arda Berrun Karaca"/>
        <s v="Aziza Kasenova"/>
        <s v="Fatih Ertugral"/>
        <s v="Sahin Deniz"/>
        <s v="Tugay İlik"/>
        <s v="Semih Ünal"/>
        <s v="Samet Sevindi"/>
        <s v="Samet Yıldırım"/>
        <s v="Umur Akbulut"/>
      </sharedItems>
    </cacheField>
    <cacheField name=" ">
      <sharedItems containsBlank="1" containsMixedTypes="1" containsNumber="1" containsInteger="1">
        <m/>
        <n v="36.0"/>
        <s v="-"/>
        <n v="42.0"/>
        <n v="15.0"/>
      </sharedItems>
    </cacheField>
    <cacheField name=" 2">
      <sharedItems containsBlank="1" containsMixedTypes="1" containsNumber="1" containsInteger="1">
        <m/>
        <n v="41.0"/>
        <n v="44.0"/>
        <s v="-"/>
        <n v="42.0"/>
        <n v="19.0"/>
      </sharedItems>
    </cacheField>
    <cacheField name=" 3">
      <sharedItems containsBlank="1" containsMixedTypes="1" containsNumber="1" containsInteger="1">
        <m/>
        <n v="39.0"/>
        <n v="55.0"/>
        <n v="10.0"/>
        <s v="-"/>
        <n v="45.0"/>
        <n v="5.0"/>
        <n v="24.0"/>
      </sharedItems>
    </cacheField>
    <cacheField name=" 4" numFmtId="0">
      <sharedItems containsString="0" containsBlank="1" containsNumber="1" containsInteger="1">
        <m/>
        <n v="34.0"/>
        <n v="54.0"/>
        <n v="46.0"/>
        <n v="8.0"/>
        <n v="26.0"/>
      </sharedItems>
    </cacheField>
    <cacheField name=" 5" numFmtId="0">
      <sharedItems containsString="0" containsBlank="1" containsNumber="1" containsInteger="1">
        <m/>
        <n v="18.0"/>
        <n v="55.0"/>
        <n v="49.0"/>
        <n v="40.0"/>
        <n v="23.0"/>
      </sharedItems>
    </cacheField>
    <cacheField name=" 6" numFmtId="0">
      <sharedItems containsString="0" containsBlank="1" containsNumber="1" containsInteger="1">
        <m/>
        <n v="32.0"/>
        <n v="57.0"/>
        <n v="45.0"/>
        <n v="42.0"/>
        <n v="25.0"/>
      </sharedItems>
    </cacheField>
    <cacheField name=" 7" numFmtId="0">
      <sharedItems containsString="0" containsBlank="1" containsNumber="1" containsInteger="1">
        <m/>
        <n v="34.0"/>
        <n v="46.0"/>
        <n v="42.0"/>
        <n v="8.0"/>
        <n v="23.0"/>
        <n v="27.0"/>
      </sharedItems>
    </cacheField>
    <cacheField name=" 8" numFmtId="0">
      <sharedItems containsString="0" containsBlank="1" containsNumber="1" containsInteger="1">
        <m/>
        <n v="24.0"/>
        <n v="16.0"/>
        <n v="18.0"/>
        <n v="14.0"/>
        <n v="12.0"/>
      </sharedItems>
    </cacheField>
    <cacheField name=" 9" numFmtId="0">
      <sharedItems containsString="0" containsBlank="1" containsNumber="1" containsInteger="1">
        <m/>
        <n v="29.0"/>
        <n v="36.0"/>
        <n v="34.0"/>
        <n v="9.0"/>
        <n v="45.0"/>
        <n v="25.0"/>
      </sharedItems>
    </cacheField>
    <cacheField name=" 10" numFmtId="0">
      <sharedItems containsString="0" containsBlank="1" containsNumber="1" containsInteger="1">
        <m/>
        <n v="45.0"/>
        <n v="49.0"/>
        <n v="44.0"/>
        <n v="33.0"/>
      </sharedItems>
    </cacheField>
    <cacheField name=" 11" numFmtId="0">
      <sharedItems containsString="0" containsBlank="1" containsNumber="1" containsInteger="1">
        <m/>
        <n v="43.0"/>
        <n v="55.0"/>
        <n v="49.0"/>
        <n v="8.0"/>
        <n v="44.0"/>
        <n v="33.0"/>
      </sharedItems>
    </cacheField>
    <cacheField name=" 12" numFmtId="0">
      <sharedItems containsString="0" containsBlank="1" containsNumber="1" containsInteger="1">
        <n v="5.0"/>
        <n v="36.0"/>
        <n v="53.0"/>
        <n v="51.0"/>
        <m/>
        <n v="40.0"/>
        <n v="33.0"/>
      </sharedItems>
    </cacheField>
    <cacheField name=" 13" numFmtId="0">
      <sharedItems containsString="0" containsBlank="1" containsNumber="1" containsInteger="1">
        <n v="12.0"/>
        <n v="37.0"/>
        <n v="55.0"/>
        <n v="43.0"/>
        <m/>
        <n v="46.0"/>
        <n v="26.0"/>
        <n v="5.0"/>
      </sharedItems>
    </cacheField>
    <cacheField name=" 14">
      <sharedItems containsBlank="1" containsMixedTypes="1" containsNumber="1" containsInteger="1">
        <m/>
        <n v="55.0"/>
        <s v="-"/>
        <n v="47.0"/>
        <n v="34.0"/>
        <n v="23.0"/>
      </sharedItems>
    </cacheField>
    <cacheField name=" 15">
      <sharedItems containsBlank="1" containsMixedTypes="1" containsNumber="1" containsInteger="1">
        <m/>
        <n v="56.0"/>
        <s v="-"/>
        <n v="52.0"/>
        <n v="32.0"/>
        <n v="31.0"/>
      </sharedItems>
    </cacheField>
    <cacheField name=" 16">
      <sharedItems containsBlank="1" containsMixedTypes="1" containsNumber="1" containsInteger="1">
        <m/>
        <n v="42.0"/>
        <s v="-"/>
        <n v="39.0"/>
        <n v="31.0"/>
        <n v="32.0"/>
      </sharedItems>
    </cacheField>
    <cacheField name=" 17">
      <sharedItems containsBlank="1" containsMixedTypes="1" containsNumber="1" containsInteger="1">
        <m/>
        <n v="50.0"/>
        <s v="-"/>
        <n v="51.0"/>
        <n v="35.0"/>
        <n v="39.0"/>
      </sharedItems>
    </cacheField>
    <cacheField name=" 18">
      <sharedItems containsBlank="1" containsMixedTypes="1" containsNumber="1" containsInteger="1">
        <m/>
        <n v="49.0"/>
        <s v="-"/>
        <n v="43.0"/>
        <n v="35.0"/>
      </sharedItems>
    </cacheField>
    <cacheField name=" 19">
      <sharedItems containsBlank="1" containsMixedTypes="1" containsNumber="1" containsInteger="1">
        <m/>
        <n v="51.0"/>
        <s v="-"/>
        <n v="15.0"/>
      </sharedItems>
    </cacheField>
    <cacheField name=" 20">
      <sharedItems containsBlank="1" containsMixedTypes="1" containsNumber="1" containsInteger="1">
        <m/>
        <n v="51.0"/>
        <s v="-"/>
        <n v="40.0"/>
      </sharedItems>
    </cacheField>
    <cacheField name=" 21" numFmtId="0">
      <sharedItems containsString="0" containsBlank="1">
        <m/>
      </sharedItems>
    </cacheField>
    <cacheField name=" 22" numFmtId="0">
      <sharedItems containsString="0" containsBlank="1">
        <m/>
      </sharedItems>
    </cacheField>
    <cacheField name=" 23" numFmtId="0">
      <sharedItems containsString="0" containsBlank="1">
        <m/>
      </sharedItems>
    </cacheField>
    <cacheField name=" 24" numFmtId="0">
      <sharedItems containsString="0" containsBlank="1">
        <m/>
      </sharedItems>
    </cacheField>
    <cacheField name=" 25" numFmtId="0">
      <sharedItems containsString="0" containsBlank="1">
        <m/>
      </sharedItems>
    </cacheField>
    <cacheField name=" 26" numFmtId="0">
      <sharedItems containsString="0" containsBlank="1">
        <m/>
      </sharedItems>
    </cacheField>
  </cacheFields>
</pivotCacheDefinition>
</file>

<file path=xl/pivotCache/pivotCacheDefinition8.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45:AA52" sheet="Skeletors"/>
  </cacheSource>
  <cacheFields>
    <cacheField name="Individual Committed Effort" numFmtId="0">
      <sharedItems>
        <s v="Ahmet Aslan"/>
        <s v="Aziza Kasenova"/>
        <s v="Yasin Can Tarlan"/>
        <s v="Tugay İlik"/>
        <s v="Ugurcan Ertek"/>
        <s v="Mert Adatepe"/>
        <s v="Bilge Bavlı"/>
      </sharedItems>
    </cacheField>
    <cacheField name=" " numFmtId="0">
      <sharedItems containsString="0" containsBlank="1" containsNumber="1" containsInteger="1">
        <n v="34.0"/>
        <m/>
        <n v="54.0"/>
        <n v="0.0"/>
        <n v="45.0"/>
        <n v="40.0"/>
      </sharedItems>
    </cacheField>
    <cacheField name=" 2" numFmtId="0">
      <sharedItems containsString="0" containsBlank="1" containsNumber="1" containsInteger="1">
        <n v="46.0"/>
        <m/>
        <n v="52.0"/>
        <n v="0.0"/>
        <n v="50.0"/>
        <n v="39.0"/>
      </sharedItems>
    </cacheField>
    <cacheField name=" 3" numFmtId="0">
      <sharedItems containsString="0" containsBlank="1" containsNumber="1" containsInteger="1">
        <n v="47.0"/>
        <m/>
        <n v="0.0"/>
        <n v="53.0"/>
        <n v="42.0"/>
      </sharedItems>
    </cacheField>
    <cacheField name=" 4" numFmtId="0">
      <sharedItems containsString="0" containsBlank="1" containsNumber="1" containsInteger="1">
        <n v="39.0"/>
        <m/>
        <n v="50.0"/>
        <n v="0.0"/>
        <n v="52.0"/>
        <n v="38.0"/>
      </sharedItems>
    </cacheField>
    <cacheField name=" 5" numFmtId="0">
      <sharedItems containsString="0" containsBlank="1" containsNumber="1" containsInteger="1">
        <n v="18.0"/>
        <m/>
        <n v="59.0"/>
        <n v="0.0"/>
        <n v="58.0"/>
        <n v="46.0"/>
      </sharedItems>
    </cacheField>
    <cacheField name=" 6" numFmtId="0">
      <sharedItems containsString="0" containsBlank="1" containsNumber="1" containsInteger="1">
        <n v="44.0"/>
        <m/>
        <n v="52.0"/>
        <n v="0.0"/>
        <n v="53.0"/>
        <n v="40.0"/>
      </sharedItems>
    </cacheField>
    <cacheField name=" 7" numFmtId="0">
      <sharedItems containsString="0" containsBlank="1" containsNumber="1" containsInteger="1">
        <n v="42.0"/>
        <m/>
        <n v="50.0"/>
        <n v="0.0"/>
        <n v="41.0"/>
      </sharedItems>
    </cacheField>
    <cacheField name=" 8" numFmtId="0">
      <sharedItems containsString="0" containsBlank="1" containsNumber="1" containsInteger="1">
        <n v="31.0"/>
        <m/>
        <n v="29.0"/>
        <n v="0.0"/>
        <n v="19.0"/>
        <n v="18.0"/>
      </sharedItems>
    </cacheField>
    <cacheField name=" 9" numFmtId="0">
      <sharedItems containsString="0" containsBlank="1" containsNumber="1" containsInteger="1">
        <n v="32.0"/>
        <m/>
        <n v="46.0"/>
        <n v="0.0"/>
        <n v="37.0"/>
        <n v="34.0"/>
      </sharedItems>
    </cacheField>
    <cacheField name=" 10" numFmtId="0">
      <sharedItems containsString="0" containsBlank="1" containsNumber="1" containsInteger="1">
        <n v="46.0"/>
        <m/>
        <n v="58.0"/>
        <n v="0.0"/>
        <n v="51.0"/>
        <n v="43.0"/>
      </sharedItems>
    </cacheField>
    <cacheField name=" 11" numFmtId="0">
      <sharedItems containsString="0" containsBlank="1" containsNumber="1" containsInteger="1">
        <n v="46.0"/>
        <m/>
        <n v="47.0"/>
        <n v="0.0"/>
        <n v="55.0"/>
        <n v="43.0"/>
      </sharedItems>
    </cacheField>
    <cacheField name=" 12" numFmtId="0">
      <sharedItems containsString="0" containsBlank="1" containsNumber="1" containsInteger="1">
        <n v="45.0"/>
        <m/>
        <n v="51.0"/>
        <n v="0.0"/>
        <n v="47.0"/>
        <n v="24.0"/>
      </sharedItems>
    </cacheField>
    <cacheField name=" 13" numFmtId="0">
      <sharedItems containsString="0" containsBlank="1" containsNumber="1" containsInteger="1">
        <n v="42.0"/>
        <m/>
        <n v="68.0"/>
        <n v="0.0"/>
        <n v="47.0"/>
        <n v="44.0"/>
      </sharedItems>
    </cacheField>
    <cacheField name=" 14" numFmtId="0">
      <sharedItems containsString="0" containsBlank="1" containsNumber="1" containsInteger="1">
        <m/>
        <n v="52.0"/>
        <n v="53.0"/>
        <n v="0.0"/>
        <n v="50.0"/>
        <n v="41.0"/>
      </sharedItems>
    </cacheField>
    <cacheField name=" 15" numFmtId="0">
      <sharedItems containsString="0" containsBlank="1" containsNumber="1" containsInteger="1">
        <m/>
        <n v="33.0"/>
        <n v="54.0"/>
        <n v="0.0"/>
        <n v="50.0"/>
        <n v="39.0"/>
        <n v="3.0"/>
      </sharedItems>
    </cacheField>
    <cacheField name=" 16" numFmtId="0">
      <sharedItems containsString="0" containsBlank="1" containsNumber="1" containsInteger="1">
        <m/>
        <n v="29.0"/>
        <n v="20.0"/>
        <n v="0.0"/>
        <n v="33.0"/>
        <n v="12.0"/>
      </sharedItems>
    </cacheField>
    <cacheField name=" 17" numFmtId="0">
      <sharedItems containsString="0" containsBlank="1" containsNumber="1" containsInteger="1">
        <m/>
        <n v="32.0"/>
        <n v="56.0"/>
        <n v="0.0"/>
        <n v="53.0"/>
        <n v="43.0"/>
        <n v="15.0"/>
      </sharedItems>
    </cacheField>
    <cacheField name=" 18" numFmtId="0">
      <sharedItems containsString="0" containsBlank="1" containsNumber="1" containsInteger="1">
        <m/>
        <n v="34.0"/>
        <n v="55.0"/>
        <n v="0.0"/>
        <n v="46.0"/>
        <n v="42.0"/>
        <n v="17.0"/>
      </sharedItems>
    </cacheField>
    <cacheField name=" 19" numFmtId="0">
      <sharedItems containsString="0" containsBlank="1" containsNumber="1" containsInteger="1">
        <m/>
        <n v="46.0"/>
        <n v="0.0"/>
        <n v="52.0"/>
        <n v="42.0"/>
        <n v="17.0"/>
      </sharedItems>
    </cacheField>
    <cacheField name=" 20" numFmtId="0">
      <sharedItems containsString="0" containsBlank="1" containsNumber="1" containsInteger="1">
        <m/>
        <n v="42.0"/>
        <n v="48.0"/>
        <n v="0.0"/>
        <n v="50.0"/>
        <n v="38.0"/>
        <n v="17.0"/>
      </sharedItems>
    </cacheField>
    <cacheField name=" 21" numFmtId="0">
      <sharedItems containsString="0" containsBlank="1" containsNumber="1" containsInteger="1">
        <m/>
        <n v="11.0"/>
        <n v="51.0"/>
        <n v="0.0"/>
        <n v="50.0"/>
        <n v="33.0"/>
        <n v="20.0"/>
      </sharedItems>
    </cacheField>
    <cacheField name=" 22" numFmtId="0">
      <sharedItems containsString="0" containsBlank="1">
        <m/>
      </sharedItems>
    </cacheField>
    <cacheField name=" 23" numFmtId="0">
      <sharedItems containsString="0" containsBlank="1">
        <m/>
      </sharedItems>
    </cacheField>
    <cacheField name=" 24" numFmtId="0">
      <sharedItems containsString="0" containsBlank="1">
        <m/>
      </sharedItems>
    </cacheField>
    <cacheField name=" 25" numFmtId="0">
      <sharedItems containsString="0" containsBlank="1">
        <m/>
      </sharedItems>
    </cacheField>
    <cacheField name=" 26" numFmtId="0">
      <sharedItems containsString="0" containsBlank="1">
        <m/>
      </sharedItems>
    </cacheField>
  </cacheFields>
</pivotCacheDefinition>
</file>

<file path=xl/pivotCache/pivotCacheDefinition9.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36:AA42" sheet="Scale-up"/>
  </cacheSource>
  <cacheFields>
    <cacheField name="Individual Committed Effort" numFmtId="0">
      <sharedItems>
        <s v="Ahmet Aslan"/>
        <s v="Şahin Deniz"/>
        <s v="Arda Berrun Karaca "/>
        <s v="Eda Taşyürek"/>
        <s v="Oktay Yedibela"/>
        <s v="Beyza Ozbek"/>
      </sharedItems>
    </cacheField>
    <cacheField name=" " numFmtId="0">
      <sharedItems containsString="0" containsBlank="1">
        <m/>
      </sharedItems>
    </cacheField>
    <cacheField name=" 2" numFmtId="0">
      <sharedItems containsString="0" containsBlank="1">
        <m/>
      </sharedItems>
    </cacheField>
    <cacheField name=" 3" numFmtId="0">
      <sharedItems containsString="0" containsBlank="1">
        <m/>
      </sharedItems>
    </cacheField>
    <cacheField name=" 4" numFmtId="0">
      <sharedItems containsString="0" containsBlank="1">
        <m/>
      </sharedItems>
    </cacheField>
    <cacheField name=" 5" numFmtId="0">
      <sharedItems containsString="0" containsBlank="1">
        <m/>
      </sharedItems>
    </cacheField>
    <cacheField name=" 6" numFmtId="0">
      <sharedItems containsString="0" containsBlank="1">
        <m/>
      </sharedItems>
    </cacheField>
    <cacheField name=" 7" numFmtId="0">
      <sharedItems containsString="0" containsBlank="1">
        <m/>
      </sharedItems>
    </cacheField>
    <cacheField name=" 8" numFmtId="0">
      <sharedItems containsString="0" containsBlank="1">
        <m/>
      </sharedItems>
    </cacheField>
    <cacheField name=" 9" numFmtId="0">
      <sharedItems containsString="0" containsBlank="1">
        <m/>
      </sharedItems>
    </cacheField>
    <cacheField name=" 10" numFmtId="0">
      <sharedItems containsString="0" containsBlank="1">
        <m/>
      </sharedItems>
    </cacheField>
    <cacheField name=" 11" numFmtId="0">
      <sharedItems containsString="0" containsBlank="1">
        <m/>
      </sharedItems>
    </cacheField>
    <cacheField name=" 12" numFmtId="0">
      <sharedItems containsString="0" containsBlank="1">
        <m/>
      </sharedItems>
    </cacheField>
    <cacheField name=" 13" numFmtId="0">
      <sharedItems containsString="0" containsBlank="1">
        <m/>
      </sharedItems>
    </cacheField>
    <cacheField name=" 14" numFmtId="0">
      <sharedItems containsSemiMixedTypes="0" containsString="0" containsNumber="1" containsInteger="1">
        <n v="45.0"/>
        <n v="52.0"/>
        <n v="19.0"/>
        <n v="5.0"/>
        <n v="13.0"/>
        <n v="47.0"/>
      </sharedItems>
    </cacheField>
    <cacheField name=" 15" numFmtId="0">
      <sharedItems containsSemiMixedTypes="0" containsString="0" containsNumber="1" containsInteger="1">
        <n v="39.0"/>
        <n v="48.0"/>
        <n v="21.0"/>
        <n v="8.0"/>
        <n v="50.0"/>
      </sharedItems>
    </cacheField>
    <cacheField name=" 16" numFmtId="0">
      <sharedItems containsString="0" containsBlank="1" containsNumber="1" containsInteger="1">
        <n v="8.0"/>
        <n v="44.0"/>
        <n v="26.0"/>
        <m/>
      </sharedItems>
    </cacheField>
    <cacheField name=" 17" numFmtId="0">
      <sharedItems containsSemiMixedTypes="0" containsString="0" containsNumber="1" containsInteger="1">
        <n v="39.0"/>
        <n v="47.0"/>
        <n v="29.0"/>
        <n v="5.0"/>
        <n v="13.0"/>
        <n v="52.0"/>
      </sharedItems>
    </cacheField>
    <cacheField name=" 18" numFmtId="0">
      <sharedItems containsSemiMixedTypes="0" containsString="0" containsNumber="1" containsInteger="1">
        <n v="44.0"/>
        <n v="37.0"/>
        <n v="22.0"/>
        <n v="10.0"/>
        <n v="13.0"/>
        <n v="50.0"/>
      </sharedItems>
    </cacheField>
    <cacheField name=" 19" numFmtId="0">
      <sharedItems containsSemiMixedTypes="0" containsString="0" containsNumber="1" containsInteger="1">
        <n v="45.0"/>
        <n v="48.0"/>
        <n v="26.0"/>
        <n v="9.0"/>
        <n v="11.0"/>
        <n v="58.0"/>
      </sharedItems>
    </cacheField>
    <cacheField name=" 20" numFmtId="0">
      <sharedItems containsSemiMixedTypes="0" containsString="0" containsNumber="1" containsInteger="1">
        <n v="43.0"/>
        <n v="40.0"/>
        <n v="30.0"/>
        <n v="10.0"/>
        <n v="16.0"/>
        <n v="52.0"/>
      </sharedItems>
    </cacheField>
    <cacheField name=" 21" numFmtId="0">
      <sharedItems containsSemiMixedTypes="0" containsString="0" containsNumber="1" containsInteger="1">
        <n v="46.0"/>
        <n v="44.0"/>
        <n v="35.0"/>
        <n v="10.0"/>
        <n v="16.0"/>
        <n v="55.0"/>
      </sharedItems>
    </cacheField>
    <cacheField name=" 22" numFmtId="0">
      <sharedItems containsString="0" containsBlank="1">
        <m/>
      </sharedItems>
    </cacheField>
    <cacheField name=" 23" numFmtId="0">
      <sharedItems containsString="0" containsBlank="1">
        <m/>
      </sharedItems>
    </cacheField>
    <cacheField name=" 24" numFmtId="0">
      <sharedItems containsString="0" containsBlank="1">
        <m/>
      </sharedItems>
    </cacheField>
    <cacheField name=" 25" numFmtId="0">
      <sharedItems containsString="0" containsBlank="1">
        <m/>
      </sharedItems>
    </cacheField>
    <cacheField name=" 26"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name="DEV Bug Rate " cacheId="0" dataCaption="" rowGrandTotals="0" compact="0" compactData="0">
  <location ref="A1:N32" firstHeaderRow="0" firstDataRow="1" firstDataCol="1"/>
  <pivotFields>
    <pivotField name="Team" axis="axisRow" compact="0" outline="0" multipleItemSelectionAllowed="1" showAll="0" sortType="ascending">
      <items>
        <item x="32"/>
        <item x="0"/>
        <item x="22"/>
        <item x="5"/>
        <item x="3"/>
        <item x="6"/>
        <item x="23"/>
        <item x="8"/>
        <item h="1" x="29"/>
        <item x="9"/>
        <item x="31"/>
        <item x="7"/>
        <item x="4"/>
        <item x="17"/>
        <item x="11"/>
        <item x="25"/>
        <item x="13"/>
        <item x="14"/>
        <item x="12"/>
        <item x="10"/>
        <item x="30"/>
        <item x="15"/>
        <item x="26"/>
        <item x="24"/>
        <item x="2"/>
        <item x="27"/>
        <item x="18"/>
        <item x="16"/>
        <item x="1"/>
        <item x="19"/>
        <item x="28"/>
        <item x="20"/>
        <item x="21"/>
        <item t="default"/>
      </items>
    </pivotField>
    <pivotField name="Month" axis="axisCol" compact="0" outline="0" multipleItemSelectionAllowed="1" showAll="0" sortType="ascending">
      <items>
        <item h="1" x="12"/>
        <item x="0"/>
        <item x="1"/>
        <item x="2"/>
        <item x="3"/>
        <item x="4"/>
        <item x="5"/>
        <item x="6"/>
        <item x="7"/>
        <item x="8"/>
        <item x="9"/>
        <item x="10"/>
        <item x="11"/>
        <item t="default"/>
      </items>
    </pivotField>
    <pivotField name="Release Efficiency" compact="0" numFmtId="9" outline="0" multipleItemSelectionAllowed="1" showAll="0">
      <items>
        <item x="0"/>
        <item x="1"/>
        <item t="default"/>
      </items>
    </pivotField>
    <pivotField name="Shipp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name="Bug/Development Ratio" dataField="1"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Plann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name="Sprint Goal Success" compact="0" numFmtId="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 " compact="0" outline="0" multipleItemSelectionAllowed="1" showAll="0">
      <items>
        <item x="0"/>
        <item t="default"/>
      </items>
    </pivotField>
    <pivotField name="Done PBI Effort" compact="0" outline="0" multipleItemSelectionAllowed="1" showAll="0">
      <items>
        <item x="0"/>
        <item x="1"/>
        <item x="2"/>
        <item t="default"/>
      </items>
    </pivotField>
    <pivotField name="Shipping accuracy formülleri güncellenecek, Release Efficiency metriği eklenecek" compact="0" outline="0" multipleItemSelectionAllowed="1" showAll="0">
      <items>
        <item x="0"/>
        <item t="default"/>
      </items>
    </pivotField>
    <pivotField name=" 2" compact="0" outline="0" multipleItemSelectionAllowed="1" showAll="0">
      <items>
        <item x="0"/>
        <item x="1"/>
        <item t="default"/>
      </items>
    </pivotField>
    <pivotField name=" 3" compact="0" outline="0" multipleItemSelectionAllowed="1" showAll="0">
      <items>
        <item x="0"/>
        <item t="default"/>
      </items>
    </pivotField>
    <pivotField name=" 4" compact="0" outline="0" multipleItemSelectionAllowed="1" showAll="0">
      <items>
        <item x="0"/>
        <item t="default"/>
      </items>
    </pivotField>
    <pivotField name=" 5" compact="0" outline="0" multipleItemSelectionAllowed="1" showAll="0">
      <items>
        <item x="0"/>
        <item t="default"/>
      </items>
    </pivotField>
    <pivotField name=" 6" compact="0" outline="0" multipleItemSelectionAllowed="1" showAll="0">
      <items>
        <item x="0"/>
        <item t="default"/>
      </items>
    </pivotField>
    <pivotField name="Success" compact="0" outline="0" multipleItemSelectionAllowed="1" showAll="0">
      <items>
        <item x="0"/>
        <item t="default"/>
      </items>
    </pivotField>
    <pivotField name=" 7" compact="0" outline="0" multipleItemSelectionAllowed="1" showAll="0">
      <items>
        <item x="0"/>
        <item t="default"/>
      </items>
    </pivotField>
    <pivotField name=" 8" compact="0" outline="0" multipleItemSelectionAllowed="1" showAll="0">
      <items>
        <item x="0"/>
        <item t="default"/>
      </items>
    </pivotField>
    <pivotField name=" 9" compact="0" outline="0" multipleItemSelectionAllowed="1" showAll="0">
      <items>
        <item x="0"/>
        <item t="default"/>
      </items>
    </pivotField>
    <pivotField name=" 10" compact="0" outline="0" multipleItemSelectionAllowed="1" showAll="0">
      <items>
        <item x="0"/>
        <item t="default"/>
      </items>
    </pivotField>
    <pivotField name=" 11" compact="0" outline="0" multipleItemSelectionAllowed="1" showAll="0">
      <items>
        <item x="0"/>
        <item t="default"/>
      </items>
    </pivotField>
    <pivotField name=" 12" compact="0" outline="0" multipleItemSelectionAllowed="1" showAll="0">
      <items>
        <item x="0"/>
        <item t="default"/>
      </items>
    </pivotField>
    <pivotField name=" 13" compact="0" outline="0" multipleItemSelectionAllowed="1" showAll="0">
      <items>
        <item x="0"/>
        <item t="default"/>
      </items>
    </pivotField>
    <pivotField name=" 14" compact="0" outline="0" multipleItemSelectionAllowed="1" showAll="0">
      <items>
        <item x="0"/>
        <item t="default"/>
      </items>
    </pivotField>
    <pivotField name=" 15" compact="0" outline="0" multipleItemSelectionAllowed="1" showAll="0">
      <items>
        <item x="0"/>
        <item t="default"/>
      </items>
    </pivotField>
    <pivotField name=" 16" compact="0" outline="0" multipleItemSelectionAllowed="1" showAll="0">
      <items>
        <item x="0"/>
        <item t="default"/>
      </items>
    </pivotField>
    <pivotField name=" 17" compact="0" outline="0" multipleItemSelectionAllowed="1" showAll="0">
      <items>
        <item x="0"/>
        <item t="default"/>
      </items>
    </pivotField>
    <pivotField name=" 18" compact="0" outline="0" multipleItemSelectionAllowed="1" showAll="0">
      <items>
        <item x="0"/>
        <item t="default"/>
      </items>
    </pivotField>
    <pivotField name=" 19" compact="0" outline="0" multipleItemSelectionAllowed="1" showAll="0">
      <items>
        <item x="0"/>
        <item t="default"/>
      </items>
    </pivotField>
    <pivotField name=" 20" compact="0" outline="0" multipleItemSelectionAllowed="1" showAll="0">
      <items>
        <item x="0"/>
        <item t="default"/>
      </items>
    </pivotField>
    <pivotField name=" 21" compact="0" outline="0" multipleItemSelectionAllowed="1" showAll="0">
      <items>
        <item x="0"/>
        <item t="default"/>
      </items>
    </pivotField>
    <pivotField name=" 22" compact="0" outline="0" multipleItemSelectionAllowed="1" showAll="0">
      <items>
        <item x="0"/>
        <item t="default"/>
      </items>
    </pivotField>
    <pivotField name=" 23" compact="0" outline="0" multipleItemSelectionAllowed="1" showAll="0">
      <items>
        <item x="0"/>
        <item t="default"/>
      </items>
    </pivotField>
    <pivotField name=" 24" compact="0" outline="0" multipleItemSelectionAllowed="1" showAll="0">
      <items>
        <item x="0"/>
        <item t="default"/>
      </items>
    </pivotField>
    <pivotField name=" 25" compact="0" outline="0" multipleItemSelectionAllowed="1" showAll="0">
      <items>
        <item x="0"/>
        <item t="default"/>
      </items>
    </pivotField>
    <pivotField name=" 26" compact="0" outline="0" multipleItemSelectionAllowed="1" showAll="0">
      <items>
        <item x="0"/>
        <item t="default"/>
      </items>
    </pivotField>
    <pivotField name=" 27" compact="0" outline="0" multipleItemSelectionAllowed="1" showAll="0">
      <items>
        <item x="0"/>
        <item t="default"/>
      </items>
    </pivotField>
    <pivotField name=" 28" compact="0" outline="0" multipleItemSelectionAllowed="1" showAll="0">
      <items>
        <item x="0"/>
        <item t="default"/>
      </items>
    </pivotField>
    <pivotField name=" 29" compact="0" outline="0" multipleItemSelectionAllowed="1" showAll="0">
      <items>
        <item x="0"/>
        <item t="default"/>
      </items>
    </pivotField>
    <pivotField name=" 30" compact="0" outline="0" multipleItemSelectionAllowed="1" showAll="0">
      <items>
        <item x="0"/>
        <item t="default"/>
      </items>
    </pivotField>
    <pivotField name=" 31" compact="0" outline="0" multipleItemSelectionAllowed="1" showAll="0">
      <items>
        <item x="0"/>
        <item t="default"/>
      </items>
    </pivotField>
    <pivotField name=" 32" compact="0" outline="0" multipleItemSelectionAllowed="1" showAll="0">
      <items>
        <item x="0"/>
        <item t="default"/>
      </items>
    </pivotField>
    <pivotField name=" 33" compact="0" outline="0" multipleItemSelectionAllowed="1" showAll="0">
      <items>
        <item x="0"/>
        <item t="default"/>
      </items>
    </pivotField>
  </pivotFields>
  <rowFields>
    <field x="0"/>
  </rowFields>
  <colFields>
    <field x="1"/>
  </colFields>
  <dataFields>
    <dataField name="SUM of Bug/Development Ratio" fld="4" baseField="0"/>
  </dataFields>
</pivotTableDefinition>
</file>

<file path=xl/pivotTables/pivotTable2.xml><?xml version="1.0" encoding="utf-8"?>
<pivotTableDefinition xmlns="http://schemas.openxmlformats.org/spreadsheetml/2006/main" name="Planning Accuracy Pivot" cacheId="1" dataCaption="" compact="0" compactData="0">
  <location ref="A1:C18" firstHeaderRow="0" firstDataRow="1" firstDataCol="1"/>
  <pivotFields>
    <pivotField name="Team" axis="axisRow" compact="0" outline="0" multipleItemSelectionAllowed="1" showAll="0" sortType="ascending">
      <items>
        <item x="0"/>
        <item x="22"/>
        <item h="1" x="5"/>
        <item x="3"/>
        <item h="1" x="6"/>
        <item x="23"/>
        <item x="8"/>
        <item h="1" x="29"/>
        <item x="9"/>
        <item h="1" x="7"/>
        <item x="4"/>
        <item x="17"/>
        <item x="11"/>
        <item x="25"/>
        <item h="1" x="13"/>
        <item h="1" x="14"/>
        <item h="1" x="12"/>
        <item x="10"/>
        <item h="1" x="15"/>
        <item x="26"/>
        <item h="1" x="24"/>
        <item h="1" x="2"/>
        <item x="27"/>
        <item h="1" x="18"/>
        <item h="1" x="16"/>
        <item h="1" x="1"/>
        <item x="19"/>
        <item x="28"/>
        <item h="1" x="20"/>
        <item h="1" x="21"/>
        <item t="default"/>
      </items>
    </pivotField>
    <pivotField name="Month" axis="axisCol" compact="0" outline="0" multipleItemSelectionAllowed="1" showAll="0" sortType="ascending">
      <items>
        <item x="0"/>
        <item h="1" x="1"/>
        <item h="1" x="2"/>
        <item h="1" x="3"/>
        <item h="1" x="4"/>
        <item h="1" x="5"/>
        <item h="1" x="6"/>
        <item h="1" x="7"/>
        <item h="1" x="8"/>
        <item h="1" x="9"/>
        <item h="1" x="10"/>
        <item h="1" x="11"/>
        <item t="default"/>
      </items>
    </pivotField>
    <pivotField name="Release Efficiency" compact="0" numFmtId="9" outline="0" multipleItemSelectionAllowed="1" showAll="0">
      <items>
        <item x="0"/>
        <item x="1"/>
        <item t="default"/>
      </items>
    </pivotField>
    <pivotField name="Shipping Accuracy" dataField="1"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t="default"/>
      </items>
    </pivotField>
    <pivotField name="Bug/Development Ratio"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Plann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t="default"/>
      </items>
    </pivotField>
    <pivotField name="Sprint Goal Success" compact="0" numFmtId="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s>
  <rowFields>
    <field x="0"/>
  </rowFields>
  <colFields>
    <field x="1"/>
  </colFields>
  <dataFields>
    <dataField name="AVERAGE of Shipping Accuracy" fld="3" subtotal="average" baseField="0"/>
  </dataFields>
</pivotTableDefinition>
</file>

<file path=xl/pivotTables/pivotTable3.xml><?xml version="1.0" encoding="utf-8"?>
<pivotTableDefinition xmlns="http://schemas.openxmlformats.org/spreadsheetml/2006/main" name="BugDev Pivot" cacheId="2" dataCaption="" compact="0" compactData="0">
  <location ref="A3:B34" firstHeaderRow="0" firstDataRow="1" firstDataCol="0" rowPageCount="1" colPageCount="1"/>
  <pivotFields>
    <pivotField name="Team" axis="axisRow" compact="0" outline="0" multipleItemSelectionAllowed="1" showAll="0" sortType="ascending">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autoSortScope>
        <pivotArea>
          <references>
            <reference field="4294967294">
              <x v="0"/>
            </reference>
          </references>
        </pivotArea>
      </autoSortScope>
    </pivotField>
    <pivotField name="Month" compact="0" outline="0" multipleItemSelectionAllowed="1" showAll="0">
      <items>
        <item x="0"/>
        <item x="1"/>
        <item x="2"/>
        <item x="3"/>
        <item x="4"/>
        <item x="5"/>
        <item x="6"/>
        <item x="7"/>
        <item x="8"/>
        <item x="9"/>
        <item x="10"/>
        <item x="11"/>
        <item x="12"/>
        <item t="default"/>
      </items>
    </pivotField>
    <pivotField name="Release Efficiency" compact="0" numFmtId="9" outline="0" multipleItemSelectionAllowed="1" showAll="0">
      <items>
        <item x="0"/>
        <item x="1"/>
        <item t="default"/>
      </items>
    </pivotField>
    <pivotField name="Shipp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name="Bug/Development Ratio" axis="axisPage" dataField="1" compact="0" numFmtId="166" outline="0" multipleItemSelectionAllowed="1" showAll="0">
      <items>
        <item x="0"/>
        <item x="1"/>
        <item x="2"/>
        <item x="3"/>
        <item x="4"/>
        <item x="5"/>
        <item x="6"/>
        <item x="7"/>
        <item x="8"/>
        <item h="1" x="9"/>
        <item x="10"/>
        <item x="11"/>
        <item x="12"/>
        <item x="13"/>
        <item x="14"/>
        <item x="15"/>
        <item x="16"/>
        <item x="17"/>
        <item x="18"/>
        <item x="19"/>
        <item x="20"/>
        <item x="21"/>
        <item x="22"/>
        <item h="1" x="23"/>
        <item x="24"/>
        <item x="25"/>
        <item x="26"/>
        <item x="27"/>
        <item x="28"/>
        <item h="1" x="29"/>
        <item h="1" x="30"/>
        <item h="1" x="31"/>
        <item x="32"/>
        <item x="33"/>
        <item h="1" x="34"/>
        <item x="35"/>
        <item x="36"/>
        <item x="37"/>
        <item x="38"/>
        <item x="39"/>
        <item x="40"/>
        <item x="41"/>
        <item x="42"/>
        <item x="43"/>
        <item x="44"/>
        <item x="45"/>
        <item x="46"/>
        <item h="1" x="47"/>
        <item x="48"/>
        <item x="49"/>
        <item x="50"/>
        <item x="51"/>
        <item x="52"/>
        <item h="1" x="53"/>
        <item x="54"/>
        <item x="55"/>
        <item x="56"/>
        <item h="1" x="57"/>
        <item x="58"/>
        <item x="59"/>
        <item x="60"/>
        <item x="61"/>
        <item x="62"/>
        <item x="63"/>
        <item x="64"/>
        <item h="1" x="65"/>
        <item h="1" x="66"/>
        <item x="67"/>
        <item x="68"/>
        <item x="69"/>
        <item h="1" x="70"/>
        <item h="1" x="71"/>
        <item x="72"/>
        <item x="73"/>
        <item x="74"/>
        <item x="75"/>
        <item x="76"/>
        <item h="1" x="77"/>
        <item x="78"/>
        <item x="79"/>
        <item h="1" x="80"/>
        <item x="81"/>
        <item h="1" x="82"/>
        <item t="default"/>
      </items>
    </pivotField>
    <pivotField name="Plann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name="Sprint Goal Success" compact="0" numFmtId="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s>
  <rowFields>
    <field x="0"/>
  </rowFields>
  <pageFields>
    <pageField fld="4"/>
  </pageFields>
  <dataFields>
    <dataField name="AVERAGE of Bug/Development Ratio" fld="4" subtotal="average" baseField="0"/>
  </dataFields>
</pivotTableDefinition>
</file>

<file path=xl/pivotTables/pivotTable4.xml><?xml version="1.0" encoding="utf-8"?>
<pivotTableDefinition xmlns="http://schemas.openxmlformats.org/spreadsheetml/2006/main" name="Sprint Goal Pivot" cacheId="3" dataCaption="" compact="0" compactData="0">
  <location ref="A1:N33" firstHeaderRow="0" firstDataRow="1" firstDataCol="1"/>
  <pivotFields>
    <pivotField name="Team" axis="axisRow" compact="0" outline="0" multipleItemSelectionAllowed="1" showAll="0" sortType="ascending">
      <items>
        <item h="1" x="32"/>
        <item x="0"/>
        <item x="22"/>
        <item x="5"/>
        <item x="3"/>
        <item x="6"/>
        <item x="23"/>
        <item x="8"/>
        <item h="1" x="29"/>
        <item x="9"/>
        <item h="1" x="31"/>
        <item x="7"/>
        <item x="4"/>
        <item x="17"/>
        <item x="11"/>
        <item x="25"/>
        <item x="13"/>
        <item x="14"/>
        <item x="12"/>
        <item x="10"/>
        <item x="30"/>
        <item x="15"/>
        <item x="26"/>
        <item x="24"/>
        <item x="2"/>
        <item x="27"/>
        <item x="18"/>
        <item x="16"/>
        <item x="1"/>
        <item x="19"/>
        <item x="28"/>
        <item x="20"/>
        <item x="21"/>
        <item t="default"/>
      </items>
    </pivotField>
    <pivotField name="Month" axis="axisCol" compact="0" outline="0" multipleItemSelectionAllowed="1" showAll="0" sortType="ascending">
      <items>
        <item h="1" x="12"/>
        <item x="0"/>
        <item x="1"/>
        <item x="2"/>
        <item x="3"/>
        <item x="4"/>
        <item x="5"/>
        <item x="6"/>
        <item x="7"/>
        <item x="8"/>
        <item x="9"/>
        <item x="10"/>
        <item x="11"/>
        <item t="default"/>
      </items>
    </pivotField>
    <pivotField name="Release Efficiency" compact="0" numFmtId="9" outline="0" multipleItemSelectionAllowed="1" showAll="0">
      <items>
        <item x="0"/>
        <item x="1"/>
        <item t="default"/>
      </items>
    </pivotField>
    <pivotField name="Shipp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name="Bug/Development Ratio"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Plann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name="Sprint Goal Success" dataField="1" compact="0" numFmtId="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s>
  <rowFields>
    <field x="0"/>
  </rowFields>
  <colFields>
    <field x="1"/>
  </colFields>
  <dataFields>
    <dataField name="AVERAGE of Sprint Goal Success" fld="6" subtotal="average" baseField="0"/>
  </dataFields>
</pivotTableDefinition>
</file>

<file path=xl/pivotTables/pivotTable5.xml><?xml version="1.0" encoding="utf-8"?>
<pivotTableDefinition xmlns="http://schemas.openxmlformats.org/spreadsheetml/2006/main" name="Shipping Accuracy Pivot" cacheId="4" dataCaption="" compact="0" compactData="0">
  <location ref="A1:N17" firstHeaderRow="0" firstDataRow="1" firstDataCol="1"/>
  <pivotFields>
    <pivotField name="Team" axis="axisRow" compact="0" outline="0" multipleItemSelectionAllowed="1" showAll="0" sortType="ascending">
      <items>
        <item x="32"/>
        <item x="0"/>
        <item x="22"/>
        <item h="1" x="5"/>
        <item x="3"/>
        <item h="1" x="6"/>
        <item x="23"/>
        <item x="8"/>
        <item h="1" x="29"/>
        <item h="1" x="9"/>
        <item h="1" x="31"/>
        <item h="1" x="7"/>
        <item x="4"/>
        <item h="1" x="17"/>
        <item x="11"/>
        <item x="25"/>
        <item h="1" x="13"/>
        <item h="1" x="14"/>
        <item h="1" x="12"/>
        <item h="1" x="10"/>
        <item x="30"/>
        <item h="1" x="15"/>
        <item x="26"/>
        <item x="24"/>
        <item h="1" x="2"/>
        <item x="27"/>
        <item h="1" x="18"/>
        <item h="1" x="16"/>
        <item h="1" x="1"/>
        <item x="19"/>
        <item x="28"/>
        <item h="1" x="20"/>
        <item h="1" x="21"/>
        <item t="default"/>
      </items>
    </pivotField>
    <pivotField name="Month" axis="axisCol" compact="0" outline="0" multipleItemSelectionAllowed="1" showAll="0" sortType="ascending">
      <items>
        <item h="1" x="12"/>
        <item x="0"/>
        <item x="1"/>
        <item x="2"/>
        <item x="3"/>
        <item x="4"/>
        <item x="5"/>
        <item x="6"/>
        <item x="7"/>
        <item x="8"/>
        <item x="9"/>
        <item x="10"/>
        <item x="11"/>
        <item t="default"/>
      </items>
    </pivotField>
    <pivotField name="Release Efficiency" compact="0" numFmtId="9" outline="0" multipleItemSelectionAllowed="1" showAll="0">
      <items>
        <item x="0"/>
        <item x="1"/>
        <item t="default"/>
      </items>
    </pivotField>
    <pivotField name="Shipping Accuracy" dataField="1"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name="Bug/Development Ratio"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Plann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name="Sprint Goal Success" compact="0" numFmtId="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s>
  <rowFields>
    <field x="0"/>
  </rowFields>
  <colFields>
    <field x="1"/>
  </colFields>
  <dataFields>
    <dataField name="AVERAGE of Shipping Accuracy" fld="3" subtotal="average" baseField="0"/>
  </dataFields>
</pivotTableDefinition>
</file>

<file path=xl/pivotTables/pivotTable6.xml><?xml version="1.0" encoding="utf-8"?>
<pivotTableDefinition xmlns="http://schemas.openxmlformats.org/spreadsheetml/2006/main" name="Shipping Accuracy Pivot 2" cacheId="5" dataCaption="" compact="0" compactData="0">
  <location ref="A19:N38" firstHeaderRow="0" firstDataRow="1" firstDataCol="1"/>
  <pivotFields>
    <pivotField name="Team" axis="axisRow" compact="0" outline="0" multipleItemSelectionAllowed="1" showAll="0" sortType="ascending">
      <items>
        <item h="1" x="32"/>
        <item h="1" x="0"/>
        <item h="1" x="22"/>
        <item x="5"/>
        <item h="1" x="3"/>
        <item x="6"/>
        <item h="1" x="23"/>
        <item h="1" x="8"/>
        <item x="29"/>
        <item x="9"/>
        <item h="1" x="31"/>
        <item x="7"/>
        <item h="1" x="4"/>
        <item x="17"/>
        <item h="1" x="11"/>
        <item h="1" x="25"/>
        <item x="13"/>
        <item x="14"/>
        <item x="12"/>
        <item x="10"/>
        <item h="1" x="30"/>
        <item x="15"/>
        <item h="1" x="26"/>
        <item h="1" x="24"/>
        <item x="2"/>
        <item h="1" x="27"/>
        <item x="18"/>
        <item x="16"/>
        <item x="1"/>
        <item h="1" x="19"/>
        <item h="1" x="28"/>
        <item x="20"/>
        <item x="21"/>
        <item t="default"/>
      </items>
    </pivotField>
    <pivotField name="Month" axis="axisCol" compact="0" outline="0" multipleItemSelectionAllowed="1" showAll="0" sortType="ascending">
      <items>
        <item h="1" x="12"/>
        <item x="0"/>
        <item x="1"/>
        <item x="2"/>
        <item x="3"/>
        <item x="4"/>
        <item x="5"/>
        <item x="6"/>
        <item x="7"/>
        <item x="8"/>
        <item x="9"/>
        <item x="10"/>
        <item x="11"/>
        <item t="default"/>
      </items>
    </pivotField>
    <pivotField name="Release Efficiency" compact="0" numFmtId="9" outline="0" multipleItemSelectionAllowed="1" showAll="0">
      <items>
        <item x="0"/>
        <item x="1"/>
        <item t="default"/>
      </items>
    </pivotField>
    <pivotField name="Shipping Accuracy" dataField="1"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t="default"/>
      </items>
    </pivotField>
    <pivotField name="Bug/Development Ratio"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Planning Accuracy" compact="0" numFmtId="166"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t="default"/>
      </items>
    </pivotField>
    <pivotField name="Sprint Goal Success" compact="0" numFmtId="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s>
  <rowFields>
    <field x="0"/>
  </rowFields>
  <colFields>
    <field x="1"/>
  </colFields>
  <dataFields>
    <dataField name="AVERAGE of Shipping Accuracy" fld="3" subtotal="average" baseField="0"/>
  </dataFields>
</pivotTableDefinition>
</file>

<file path=xl/pivotTables/pivotTable7.xml><?xml version="1.0" encoding="utf-8"?>
<pivotTableDefinition xmlns="http://schemas.openxmlformats.org/spreadsheetml/2006/main" name="Liron Indv. SPA Pivot" cacheId="6" dataCaption="" compact="0" compactData="0">
  <location ref="A1:G11" firstHeaderRow="0" firstDataRow="2" firstDataCol="0"/>
  <pivotFields>
    <pivotField name="Individual Committed Effort" axis="axisRow" compact="0" outline="0" multipleItemSelectionAllowed="1" showAll="0" sortType="ascending">
      <items>
        <item x="0"/>
        <item x="1"/>
        <item x="2"/>
        <item x="3"/>
        <item x="6"/>
        <item x="7"/>
        <item x="5"/>
        <item x="4"/>
        <item x="8"/>
        <item t="default"/>
      </items>
    </pivotField>
    <pivotField name=" " compact="0" outline="0" multipleItemSelectionAllowed="1" showAll="0">
      <items>
        <item x="0"/>
        <item x="1"/>
        <item x="2"/>
        <item x="3"/>
        <item x="4"/>
        <item t="default"/>
      </items>
    </pivotField>
    <pivotField name=" 2" compact="0" outline="0" multipleItemSelectionAllowed="1" showAll="0">
      <items>
        <item x="0"/>
        <item x="1"/>
        <item x="2"/>
        <item x="3"/>
        <item x="4"/>
        <item x="5"/>
        <item t="default"/>
      </items>
    </pivotField>
    <pivotField name=" 3" compact="0" outline="0" multipleItemSelectionAllowed="1" showAll="0">
      <items>
        <item x="0"/>
        <item x="1"/>
        <item x="2"/>
        <item x="3"/>
        <item x="4"/>
        <item x="5"/>
        <item x="6"/>
        <item x="7"/>
        <item t="default"/>
      </items>
    </pivotField>
    <pivotField name=" 4" compact="0" outline="0" multipleItemSelectionAllowed="1" showAll="0">
      <items>
        <item x="0"/>
        <item x="1"/>
        <item x="2"/>
        <item x="3"/>
        <item x="4"/>
        <item x="5"/>
        <item t="default"/>
      </items>
    </pivotField>
    <pivotField name=" 5" compact="0" outline="0" multipleItemSelectionAllowed="1" showAll="0">
      <items>
        <item x="0"/>
        <item x="1"/>
        <item x="2"/>
        <item x="3"/>
        <item x="4"/>
        <item x="5"/>
        <item t="default"/>
      </items>
    </pivotField>
    <pivotField name=" 6" compact="0" outline="0" multipleItemSelectionAllowed="1" showAll="0">
      <items>
        <item x="0"/>
        <item x="1"/>
        <item x="2"/>
        <item x="3"/>
        <item x="4"/>
        <item x="5"/>
        <item t="default"/>
      </items>
    </pivotField>
    <pivotField name=" 7" compact="0" outline="0" multipleItemSelectionAllowed="1" showAll="0">
      <items>
        <item x="0"/>
        <item x="1"/>
        <item x="2"/>
        <item x="3"/>
        <item x="4"/>
        <item x="5"/>
        <item x="6"/>
        <item t="default"/>
      </items>
    </pivotField>
    <pivotField name=" 8" compact="0" outline="0" multipleItemSelectionAllowed="1" showAll="0">
      <items>
        <item x="0"/>
        <item x="1"/>
        <item x="2"/>
        <item x="3"/>
        <item x="4"/>
        <item x="5"/>
        <item t="default"/>
      </items>
    </pivotField>
    <pivotField name=" 9" compact="0" outline="0" multipleItemSelectionAllowed="1" showAll="0">
      <items>
        <item x="0"/>
        <item x="1"/>
        <item x="2"/>
        <item x="3"/>
        <item x="4"/>
        <item x="5"/>
        <item x="6"/>
        <item t="default"/>
      </items>
    </pivotField>
    <pivotField name=" 10" compact="0" outline="0" multipleItemSelectionAllowed="1" showAll="0">
      <items>
        <item x="0"/>
        <item x="1"/>
        <item x="2"/>
        <item x="3"/>
        <item x="4"/>
        <item t="default"/>
      </items>
    </pivotField>
    <pivotField name=" 11" compact="0" outline="0" multipleItemSelectionAllowed="1" showAll="0">
      <items>
        <item x="0"/>
        <item x="1"/>
        <item x="2"/>
        <item x="3"/>
        <item x="4"/>
        <item x="5"/>
        <item x="6"/>
        <item t="default"/>
      </items>
    </pivotField>
    <pivotField name=" 12" compact="0" outline="0" multipleItemSelectionAllowed="1" showAll="0">
      <items>
        <item x="0"/>
        <item x="1"/>
        <item x="2"/>
        <item x="3"/>
        <item x="4"/>
        <item x="5"/>
        <item x="6"/>
        <item t="default"/>
      </items>
    </pivotField>
    <pivotField name=" 13" compact="0" outline="0" multipleItemSelectionAllowed="1" showAll="0">
      <items>
        <item x="0"/>
        <item x="1"/>
        <item x="2"/>
        <item x="3"/>
        <item x="4"/>
        <item x="5"/>
        <item x="6"/>
        <item x="7"/>
        <item t="default"/>
      </items>
    </pivotField>
    <pivotField name=" 14" dataField="1" compact="0" outline="0" multipleItemSelectionAllowed="1" showAll="0">
      <items>
        <item x="0"/>
        <item x="1"/>
        <item x="2"/>
        <item x="3"/>
        <item x="4"/>
        <item x="5"/>
        <item t="default"/>
      </items>
    </pivotField>
    <pivotField name=" 15" dataField="1" compact="0" outline="0" multipleItemSelectionAllowed="1" showAll="0">
      <items>
        <item x="0"/>
        <item x="1"/>
        <item x="2"/>
        <item x="3"/>
        <item x="4"/>
        <item x="5"/>
        <item t="default"/>
      </items>
    </pivotField>
    <pivotField name=" 16" dataField="1" compact="0" outline="0" multipleItemSelectionAllowed="1" showAll="0">
      <items>
        <item x="0"/>
        <item x="1"/>
        <item x="2"/>
        <item x="3"/>
        <item x="4"/>
        <item x="5"/>
        <item t="default"/>
      </items>
    </pivotField>
    <pivotField name=" 17" dataField="1" compact="0" outline="0" multipleItemSelectionAllowed="1" showAll="0">
      <items>
        <item x="0"/>
        <item x="1"/>
        <item x="2"/>
        <item x="3"/>
        <item x="4"/>
        <item x="5"/>
        <item t="default"/>
      </items>
    </pivotField>
    <pivotField name=" 18" dataField="1" compact="0" outline="0" multipleItemSelectionAllowed="1" showAll="0">
      <items>
        <item x="0"/>
        <item x="1"/>
        <item x="2"/>
        <item x="3"/>
        <item x="4"/>
        <item t="default"/>
      </items>
    </pivotField>
    <pivotField name=" 19" dataField="1" compact="0" outline="0" multipleItemSelectionAllowed="1" showAll="0">
      <items>
        <item x="0"/>
        <item x="1"/>
        <item x="2"/>
        <item x="3"/>
        <item t="default"/>
      </items>
    </pivotField>
    <pivotField name=" 20" compact="0" outline="0" multipleItemSelectionAllowed="1" showAll="0">
      <items>
        <item x="0"/>
        <item x="1"/>
        <item x="2"/>
        <item x="3"/>
        <item t="default"/>
      </items>
    </pivotField>
    <pivotField name=" 21" compact="0" outline="0" multipleItemSelectionAllowed="1" showAll="0">
      <items>
        <item x="0"/>
        <item t="default"/>
      </items>
    </pivotField>
    <pivotField name=" 22" compact="0" outline="0" multipleItemSelectionAllowed="1" showAll="0">
      <items>
        <item x="0"/>
        <item t="default"/>
      </items>
    </pivotField>
    <pivotField name=" 23" compact="0" outline="0" multipleItemSelectionAllowed="1" showAll="0">
      <items>
        <item x="0"/>
        <item t="default"/>
      </items>
    </pivotField>
    <pivotField name=" 24" compact="0" outline="0" multipleItemSelectionAllowed="1" showAll="0">
      <items>
        <item x="0"/>
        <item t="default"/>
      </items>
    </pivotField>
    <pivotField name=" 25" compact="0" outline="0" multipleItemSelectionAllowed="1" showAll="0">
      <items>
        <item x="0"/>
        <item t="default"/>
      </items>
    </pivotField>
    <pivotField name=" 26" compact="0" outline="0" multipleItemSelectionAllowed="1" showAll="0">
      <items>
        <item x="0"/>
        <item t="default"/>
      </items>
    </pivotField>
  </pivotFields>
  <rowFields>
    <field x="0"/>
  </rowFields>
  <colFields>
    <field x="-2"/>
  </colFields>
  <dataFields>
    <dataField name="10" fld="14" baseField="0"/>
    <dataField name="SUM of  15" fld="15" baseField="0"/>
    <dataField name="SUM of  16" fld="16" baseField="0"/>
    <dataField name="SUM of  17" fld="17" baseField="0"/>
    <dataField name="SUM of  18" fld="18" baseField="0"/>
    <dataField name="SUM of  19" fld="19" baseField="0"/>
  </dataFields>
</pivotTableDefinition>
</file>

<file path=xl/pivotTables/pivotTable8.xml><?xml version="1.0" encoding="utf-8"?>
<pivotTableDefinition xmlns="http://schemas.openxmlformats.org/spreadsheetml/2006/main" name="Skeletors Indv. SPA Pivot" cacheId="7" dataCaption="" compact="0" compactData="0">
  <location ref="A1:H9" firstHeaderRow="0" firstDataRow="2" firstDataCol="0"/>
  <pivotFields>
    <pivotField name="Individual Committed Effort" axis="axisRow" compact="0" outline="0" multipleItemSelectionAllowed="1" showAll="0" sortType="ascending">
      <items>
        <item x="0"/>
        <item x="1"/>
        <item x="6"/>
        <item x="5"/>
        <item x="3"/>
        <item x="4"/>
        <item x="2"/>
        <item t="default"/>
      </items>
    </pivotField>
    <pivotField name=" " compact="0" outline="0" multipleItemSelectionAllowed="1" showAll="0">
      <items>
        <item x="0"/>
        <item x="1"/>
        <item x="2"/>
        <item x="3"/>
        <item x="4"/>
        <item x="5"/>
        <item t="default"/>
      </items>
    </pivotField>
    <pivotField name=" 2" compact="0" outline="0" multipleItemSelectionAllowed="1" showAll="0">
      <items>
        <item x="0"/>
        <item x="1"/>
        <item x="2"/>
        <item x="3"/>
        <item x="4"/>
        <item x="5"/>
        <item t="default"/>
      </items>
    </pivotField>
    <pivotField name=" 3" compact="0" outline="0" multipleItemSelectionAllowed="1" showAll="0">
      <items>
        <item x="0"/>
        <item x="1"/>
        <item x="2"/>
        <item x="3"/>
        <item x="4"/>
        <item t="default"/>
      </items>
    </pivotField>
    <pivotField name=" 4" compact="0" outline="0" multipleItemSelectionAllowed="1" showAll="0">
      <items>
        <item x="0"/>
        <item x="1"/>
        <item x="2"/>
        <item x="3"/>
        <item x="4"/>
        <item x="5"/>
        <item t="default"/>
      </items>
    </pivotField>
    <pivotField name=" 5" compact="0" outline="0" multipleItemSelectionAllowed="1" showAll="0">
      <items>
        <item x="0"/>
        <item x="1"/>
        <item x="2"/>
        <item x="3"/>
        <item x="4"/>
        <item x="5"/>
        <item t="default"/>
      </items>
    </pivotField>
    <pivotField name=" 6" compact="0" outline="0" multipleItemSelectionAllowed="1" showAll="0">
      <items>
        <item x="0"/>
        <item x="1"/>
        <item x="2"/>
        <item x="3"/>
        <item x="4"/>
        <item x="5"/>
        <item t="default"/>
      </items>
    </pivotField>
    <pivotField name=" 7" compact="0" outline="0" multipleItemSelectionAllowed="1" showAll="0">
      <items>
        <item x="0"/>
        <item x="1"/>
        <item x="2"/>
        <item x="3"/>
        <item x="4"/>
        <item t="default"/>
      </items>
    </pivotField>
    <pivotField name=" 8" compact="0" outline="0" multipleItemSelectionAllowed="1" showAll="0">
      <items>
        <item x="0"/>
        <item x="1"/>
        <item x="2"/>
        <item x="3"/>
        <item x="4"/>
        <item x="5"/>
        <item t="default"/>
      </items>
    </pivotField>
    <pivotField name=" 9" compact="0" outline="0" multipleItemSelectionAllowed="1" showAll="0">
      <items>
        <item x="0"/>
        <item x="1"/>
        <item x="2"/>
        <item x="3"/>
        <item x="4"/>
        <item x="5"/>
        <item t="default"/>
      </items>
    </pivotField>
    <pivotField name=" 10" compact="0" outline="0" multipleItemSelectionAllowed="1" showAll="0">
      <items>
        <item x="0"/>
        <item x="1"/>
        <item x="2"/>
        <item x="3"/>
        <item x="4"/>
        <item x="5"/>
        <item t="default"/>
      </items>
    </pivotField>
    <pivotField name=" 11" compact="0" outline="0" multipleItemSelectionAllowed="1" showAll="0">
      <items>
        <item x="0"/>
        <item x="1"/>
        <item x="2"/>
        <item x="3"/>
        <item x="4"/>
        <item x="5"/>
        <item t="default"/>
      </items>
    </pivotField>
    <pivotField name=" 12" compact="0" outline="0" multipleItemSelectionAllowed="1" showAll="0">
      <items>
        <item x="0"/>
        <item x="1"/>
        <item x="2"/>
        <item x="3"/>
        <item x="4"/>
        <item x="5"/>
        <item t="default"/>
      </items>
    </pivotField>
    <pivotField name=" 13" compact="0" outline="0" multipleItemSelectionAllowed="1" showAll="0">
      <items>
        <item x="0"/>
        <item x="1"/>
        <item x="2"/>
        <item x="3"/>
        <item x="4"/>
        <item x="5"/>
        <item t="default"/>
      </items>
    </pivotField>
    <pivotField name=" 14" dataField="1" compact="0" outline="0" multipleItemSelectionAllowed="1" showAll="0">
      <items>
        <item x="0"/>
        <item x="1"/>
        <item x="2"/>
        <item x="3"/>
        <item x="4"/>
        <item x="5"/>
        <item t="default"/>
      </items>
    </pivotField>
    <pivotField name=" 15" dataField="1" compact="0" outline="0" multipleItemSelectionAllowed="1" showAll="0">
      <items>
        <item x="0"/>
        <item x="1"/>
        <item x="2"/>
        <item x="3"/>
        <item x="4"/>
        <item x="5"/>
        <item x="6"/>
        <item t="default"/>
      </items>
    </pivotField>
    <pivotField name=" 16" dataField="1" compact="0" outline="0" multipleItemSelectionAllowed="1" showAll="0">
      <items>
        <item x="0"/>
        <item x="1"/>
        <item x="2"/>
        <item x="3"/>
        <item x="4"/>
        <item x="5"/>
        <item t="default"/>
      </items>
    </pivotField>
    <pivotField name=" 17" dataField="1" compact="0" outline="0" multipleItemSelectionAllowed="1" showAll="0">
      <items>
        <item x="0"/>
        <item x="1"/>
        <item x="2"/>
        <item x="3"/>
        <item x="4"/>
        <item x="5"/>
        <item x="6"/>
        <item t="default"/>
      </items>
    </pivotField>
    <pivotField name=" 18" dataField="1" compact="0" outline="0" multipleItemSelectionAllowed="1" showAll="0">
      <items>
        <item x="0"/>
        <item x="1"/>
        <item x="2"/>
        <item x="3"/>
        <item x="4"/>
        <item x="5"/>
        <item x="6"/>
        <item t="default"/>
      </items>
    </pivotField>
    <pivotField name=" 19" dataField="1" compact="0" outline="0" multipleItemSelectionAllowed="1" showAll="0">
      <items>
        <item x="0"/>
        <item x="1"/>
        <item x="2"/>
        <item x="3"/>
        <item x="4"/>
        <item x="5"/>
        <item t="default"/>
      </items>
    </pivotField>
    <pivotField name=" 20" dataField="1" compact="0" outline="0" multipleItemSelectionAllowed="1" showAll="0">
      <items>
        <item x="0"/>
        <item x="1"/>
        <item x="2"/>
        <item x="3"/>
        <item x="4"/>
        <item x="5"/>
        <item x="6"/>
        <item t="default"/>
      </items>
    </pivotField>
    <pivotField name=" 21" compact="0" outline="0" multipleItemSelectionAllowed="1" showAll="0">
      <items>
        <item x="0"/>
        <item x="1"/>
        <item x="2"/>
        <item x="3"/>
        <item x="4"/>
        <item x="5"/>
        <item x="6"/>
        <item t="default"/>
      </items>
    </pivotField>
    <pivotField name=" 22" compact="0" outline="0" multipleItemSelectionAllowed="1" showAll="0">
      <items>
        <item x="0"/>
        <item t="default"/>
      </items>
    </pivotField>
    <pivotField name=" 23" compact="0" outline="0" multipleItemSelectionAllowed="1" showAll="0">
      <items>
        <item x="0"/>
        <item t="default"/>
      </items>
    </pivotField>
    <pivotField name=" 24" compact="0" outline="0" multipleItemSelectionAllowed="1" showAll="0">
      <items>
        <item x="0"/>
        <item t="default"/>
      </items>
    </pivotField>
    <pivotField name=" 25" compact="0" outline="0" multipleItemSelectionAllowed="1" showAll="0">
      <items>
        <item x="0"/>
        <item t="default"/>
      </items>
    </pivotField>
    <pivotField name=" 26" compact="0" outline="0" multipleItemSelectionAllowed="1" showAll="0">
      <items>
        <item x="0"/>
        <item t="default"/>
      </items>
    </pivotField>
  </pivotFields>
  <rowFields>
    <field x="0"/>
  </rowFields>
  <colFields>
    <field x="-2"/>
  </colFields>
  <dataFields>
    <dataField name="SUM of  14" fld="14" baseField="0"/>
    <dataField name="SUM of  15" fld="15" baseField="0"/>
    <dataField name="SUM of  16" fld="16" baseField="0"/>
    <dataField name="SUM of  17" fld="17" baseField="0"/>
    <dataField name="SUM of  18" fld="18" baseField="0"/>
    <dataField name="SUM of  19" fld="19" baseField="0"/>
    <dataField name="SUM of  20" fld="20" baseField="0"/>
  </dataFields>
</pivotTableDefinition>
</file>

<file path=xl/pivotTables/pivotTable9.xml><?xml version="1.0" encoding="utf-8"?>
<pivotTableDefinition xmlns="http://schemas.openxmlformats.org/spreadsheetml/2006/main" name="ScaleUp Indv. SPA Pivot" cacheId="8" dataCaption="" compact="0" compactData="0">
  <location ref="A1:H8" firstHeaderRow="0" firstDataRow="2" firstDataCol="0"/>
  <pivotFields>
    <pivotField name="Individual Committed Effort" axis="axisRow" compact="0" outline="0" multipleItemSelectionAllowed="1" showAll="0" sortType="ascending">
      <items>
        <item x="0"/>
        <item x="2"/>
        <item x="5"/>
        <item x="3"/>
        <item x="4"/>
        <item x="1"/>
        <item t="default"/>
      </items>
    </pivotField>
    <pivotField name=" " compact="0" outline="0" multipleItemSelectionAllowed="1" showAll="0">
      <items>
        <item x="0"/>
        <item t="default"/>
      </items>
    </pivotField>
    <pivotField name=" 2" compact="0" outline="0" multipleItemSelectionAllowed="1" showAll="0">
      <items>
        <item x="0"/>
        <item t="default"/>
      </items>
    </pivotField>
    <pivotField name=" 3" compact="0" outline="0" multipleItemSelectionAllowed="1" showAll="0">
      <items>
        <item x="0"/>
        <item t="default"/>
      </items>
    </pivotField>
    <pivotField name=" 4" compact="0" outline="0" multipleItemSelectionAllowed="1" showAll="0">
      <items>
        <item x="0"/>
        <item t="default"/>
      </items>
    </pivotField>
    <pivotField name=" 5" compact="0" outline="0" multipleItemSelectionAllowed="1" showAll="0">
      <items>
        <item x="0"/>
        <item t="default"/>
      </items>
    </pivotField>
    <pivotField name=" 6" compact="0" outline="0" multipleItemSelectionAllowed="1" showAll="0">
      <items>
        <item x="0"/>
        <item t="default"/>
      </items>
    </pivotField>
    <pivotField name=" 7" compact="0" outline="0" multipleItemSelectionAllowed="1" showAll="0">
      <items>
        <item x="0"/>
        <item t="default"/>
      </items>
    </pivotField>
    <pivotField name=" 8" compact="0" outline="0" multipleItemSelectionAllowed="1" showAll="0">
      <items>
        <item x="0"/>
        <item t="default"/>
      </items>
    </pivotField>
    <pivotField name=" 9" compact="0" outline="0" multipleItemSelectionAllowed="1" showAll="0">
      <items>
        <item x="0"/>
        <item t="default"/>
      </items>
    </pivotField>
    <pivotField name=" 10" compact="0" outline="0" multipleItemSelectionAllowed="1" showAll="0">
      <items>
        <item x="0"/>
        <item t="default"/>
      </items>
    </pivotField>
    <pivotField name=" 11" compact="0" outline="0" multipleItemSelectionAllowed="1" showAll="0">
      <items>
        <item x="0"/>
        <item t="default"/>
      </items>
    </pivotField>
    <pivotField name=" 12" compact="0" outline="0" multipleItemSelectionAllowed="1" showAll="0">
      <items>
        <item x="0"/>
        <item t="default"/>
      </items>
    </pivotField>
    <pivotField name=" 13" compact="0" outline="0" multipleItemSelectionAllowed="1" showAll="0">
      <items>
        <item x="0"/>
        <item t="default"/>
      </items>
    </pivotField>
    <pivotField name=" 14" dataField="1" compact="0" outline="0" multipleItemSelectionAllowed="1" showAll="0">
      <items>
        <item x="0"/>
        <item x="1"/>
        <item x="2"/>
        <item x="3"/>
        <item x="4"/>
        <item x="5"/>
        <item t="default"/>
      </items>
    </pivotField>
    <pivotField name=" 15" dataField="1" compact="0" outline="0" multipleItemSelectionAllowed="1" showAll="0">
      <items>
        <item x="0"/>
        <item x="1"/>
        <item x="2"/>
        <item x="3"/>
        <item x="4"/>
        <item t="default"/>
      </items>
    </pivotField>
    <pivotField name=" 16" dataField="1" compact="0" outline="0" multipleItemSelectionAllowed="1" showAll="0">
      <items>
        <item x="0"/>
        <item x="1"/>
        <item x="2"/>
        <item x="3"/>
        <item t="default"/>
      </items>
    </pivotField>
    <pivotField name=" 17" dataField="1" compact="0" outline="0" multipleItemSelectionAllowed="1" showAll="0">
      <items>
        <item x="0"/>
        <item x="1"/>
        <item x="2"/>
        <item x="3"/>
        <item x="4"/>
        <item x="5"/>
        <item t="default"/>
      </items>
    </pivotField>
    <pivotField name=" 18" dataField="1" compact="0" outline="0" multipleItemSelectionAllowed="1" showAll="0">
      <items>
        <item x="0"/>
        <item x="1"/>
        <item x="2"/>
        <item x="3"/>
        <item x="4"/>
        <item x="5"/>
        <item t="default"/>
      </items>
    </pivotField>
    <pivotField name=" 19" dataField="1" compact="0" outline="0" multipleItemSelectionAllowed="1" showAll="0">
      <items>
        <item x="0"/>
        <item x="1"/>
        <item x="2"/>
        <item x="3"/>
        <item x="4"/>
        <item x="5"/>
        <item t="default"/>
      </items>
    </pivotField>
    <pivotField name=" 20" dataField="1" compact="0" outline="0" multipleItemSelectionAllowed="1" showAll="0">
      <items>
        <item x="0"/>
        <item x="1"/>
        <item x="2"/>
        <item x="3"/>
        <item x="4"/>
        <item x="5"/>
        <item t="default"/>
      </items>
    </pivotField>
    <pivotField name=" 21" compact="0" outline="0" multipleItemSelectionAllowed="1" showAll="0">
      <items>
        <item x="0"/>
        <item x="1"/>
        <item x="2"/>
        <item x="3"/>
        <item x="4"/>
        <item x="5"/>
        <item t="default"/>
      </items>
    </pivotField>
    <pivotField name=" 22" compact="0" outline="0" multipleItemSelectionAllowed="1" showAll="0">
      <items>
        <item x="0"/>
        <item t="default"/>
      </items>
    </pivotField>
    <pivotField name=" 23" compact="0" outline="0" multipleItemSelectionAllowed="1" showAll="0">
      <items>
        <item x="0"/>
        <item t="default"/>
      </items>
    </pivotField>
    <pivotField name=" 24" compact="0" outline="0" multipleItemSelectionAllowed="1" showAll="0">
      <items>
        <item x="0"/>
        <item t="default"/>
      </items>
    </pivotField>
    <pivotField name=" 25" compact="0" outline="0" multipleItemSelectionAllowed="1" showAll="0">
      <items>
        <item x="0"/>
        <item t="default"/>
      </items>
    </pivotField>
    <pivotField name=" 26" compact="0" outline="0" multipleItemSelectionAllowed="1" showAll="0">
      <items>
        <item x="0"/>
        <item t="default"/>
      </items>
    </pivotField>
  </pivotFields>
  <rowFields>
    <field x="0"/>
  </rowFields>
  <colFields>
    <field x="-2"/>
  </colFields>
  <dataFields>
    <dataField name="SUM of  14" fld="14" baseField="0"/>
    <dataField name="SUM of  15" fld="15" baseField="0"/>
    <dataField name="SUM of  16" fld="16" baseField="0"/>
    <dataField name="SUM of  17" fld="17" baseField="0"/>
    <dataField name="SUM of  18" fld="18" baseField="0"/>
    <dataField name="SUM of  19" fld="19" baseField="0"/>
    <dataField name="SUM of  20" fld="20" baseField="0"/>
  </dataFields>
</pivotTableDefinition>
</file>

<file path=xl/tables/table1.xml><?xml version="1.0" encoding="utf-8"?>
<table xmlns="http://schemas.openxmlformats.org/spreadsheetml/2006/main" ref="A1:G2" displayName="Table_1" name="Table_1" id="1">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6-Vikings - SMS-6-style" showColumnStripes="0" showFirstColumn="1" showLastColumn="1" showRowStripes="1"/>
</table>
</file>

<file path=xl/tables/table2.xml><?xml version="1.0" encoding="utf-8"?>
<table xmlns="http://schemas.openxmlformats.org/spreadsheetml/2006/main" ref="A1:G2" displayName="Table_2" name="Table_2" id="2">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11-Vikings-2-style" showColumnStripes="0" showFirstColumn="1" showLastColumn="1" showRowStripes="1"/>
</table>
</file>

<file path=xl/tables/table3.xml><?xml version="1.0" encoding="utf-8"?>
<table xmlns="http://schemas.openxmlformats.org/spreadsheetml/2006/main" ref="A1:G2" displayName="Table_3" name="Table_3" id="3">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8-Vikings - WhatsApp-6-style" showColumnStripes="0" showFirstColumn="1" showLastColumn="1" showRowStripes="1"/>
</table>
</file>

<file path=xl/tables/table4.xml><?xml version="1.0" encoding="utf-8"?>
<table xmlns="http://schemas.openxmlformats.org/spreadsheetml/2006/main" ref="A1:G2" displayName="Table_4" name="Table_4" id="4">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7-Vikings - WhatsApp-5-style" showColumnStripes="0" showFirstColumn="1" showLastColumn="1" showRowStripes="1"/>
</table>
</file>

<file path=xl/tables/table5.xml><?xml version="1.0" encoding="utf-8"?>
<table xmlns="http://schemas.openxmlformats.org/spreadsheetml/2006/main" ref="A1:G2" displayName="Table_5" name="Table_5" id="5">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5-Vikings - WhatsApp-5-style" showColumnStripes="0" showFirstColumn="1" showLastColumn="1" showRowStripes="1"/>
</table>
</file>

<file path=xl/tables/table6.xml><?xml version="1.0" encoding="utf-8"?>
<table xmlns="http://schemas.openxmlformats.org/spreadsheetml/2006/main" ref="A1:G2" displayName="Table_6" name="Table_6" id="6">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4-Vikings - WhatsApp-5-style" showColumnStripes="0" showFirstColumn="1" showLastColumn="1" showRowStripes="1"/>
</table>
</file>

<file path=xl/tables/table7.xml><?xml version="1.0" encoding="utf-8"?>
<table xmlns="http://schemas.openxmlformats.org/spreadsheetml/2006/main" ref="A1:G2" displayName="Table_7" name="Table_7" id="7">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3-Vikings - WhatsApp-4-style" showColumnStripes="0" showFirstColumn="1" showLastColumn="1" showRowStripes="1"/>
</table>
</file>

<file path=xl/tables/table8.xml><?xml version="1.0" encoding="utf-8"?>
<table xmlns="http://schemas.openxmlformats.org/spreadsheetml/2006/main" ref="A1:G2" displayName="Table_8" name="Table_8" id="8">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2-Vikings - WhatsApp-6-style" showColumnStripes="0" showFirstColumn="1" showLastColumn="1" showRowStripes="1"/>
</table>
</file>

<file path=xl/tables/table9.xml><?xml version="1.0" encoding="utf-8"?>
<table xmlns="http://schemas.openxmlformats.org/spreadsheetml/2006/main" ref="A1:G2" displayName="Table_9" name="Table_9" id="9">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1-Vikings - WhatsApp-5-style" showColumnStripes="0" showFirstColumn="1" showLastColumn="1" showRowStripes="1"/>
</table>
</file>

<file path=xl/tables/table10.xml><?xml version="1.0" encoding="utf-8"?>
<table xmlns="http://schemas.openxmlformats.org/spreadsheetml/2006/main" ref="A1:G2" displayName="Table_10" name="Table_10" id="10">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20-Vikings - WhatsApp-5-style" showColumnStripes="0" showFirstColumn="1" showLastColumn="1" showRowStripes="1"/>
</table>
</file>

<file path=xl/tables/table11.xml><?xml version="1.0" encoding="utf-8"?>
<table xmlns="http://schemas.openxmlformats.org/spreadsheetml/2006/main" ref="A1:G2" displayName="Table_11" name="Table_11" id="11">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19-Vikings - WhatsApp-5-style" showColumnStripes="0" showFirstColumn="1" showLastColumn="1" showRowStripes="1"/>
</table>
</file>

<file path=xl/tables/table12.xml><?xml version="1.0" encoding="utf-8"?>
<table xmlns="http://schemas.openxmlformats.org/spreadsheetml/2006/main" ref="A1:G2" displayName="Table_12" name="Table_12" id="12">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18-Vikings - WhatsApp-6-style" showColumnStripes="0" showFirstColumn="1" showLastColumn="1" showRowStripes="1"/>
</table>
</file>

<file path=xl/tables/table13.xml><?xml version="1.0" encoding="utf-8"?>
<table xmlns="http://schemas.openxmlformats.org/spreadsheetml/2006/main" ref="A1:G2" displayName="Table_13" name="Table_13" id="13">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17-Vikings - WhatsApp-5-style" showColumnStripes="0" showFirstColumn="1" showLastColumn="1" showRowStripes="1"/>
</table>
</file>

<file path=xl/tables/table14.xml><?xml version="1.0" encoding="utf-8"?>
<table xmlns="http://schemas.openxmlformats.org/spreadsheetml/2006/main" ref="A1:G2" displayName="Table_14" name="Table_14" id="14">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16-Vikings - WhatsApp-5-style" showColumnStripes="0" showFirstColumn="1" showLastColumn="1" showRowStripes="1"/>
</table>
</file>

<file path=xl/tables/table15.xml><?xml version="1.0" encoding="utf-8"?>
<table xmlns="http://schemas.openxmlformats.org/spreadsheetml/2006/main" ref="A1:G2" displayName="Table_15" name="Table_15" id="15">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10-Minerva-3-style" showColumnStripes="0" showFirstColumn="1" showLastColumn="1" showRowStripes="1"/>
</table>
</file>

<file path=xl/tables/table16.xml><?xml version="1.0" encoding="utf-8"?>
<table xmlns="http://schemas.openxmlformats.org/spreadsheetml/2006/main" ref="A1:G2" displayName="Table_16" name="Table_16" id="16">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8-Atrium-2-style" showColumnStripes="0" showFirstColumn="1" showLastColumn="1" showRowStripes="1"/>
</table>
</file>

<file path=xl/tables/table17.xml><?xml version="1.0" encoding="utf-8"?>
<table xmlns="http://schemas.openxmlformats.org/spreadsheetml/2006/main" ref="A1:G2" displayName="Table_17" name="Table_17" id="17">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7-Pirates-2-style" showColumnStripes="0" showFirstColumn="1" showLastColumn="1" showRowStripes="1"/>
</table>
</file>

<file path=xl/tables/table18.xml><?xml version="1.0" encoding="utf-8"?>
<table xmlns="http://schemas.openxmlformats.org/spreadsheetml/2006/main" ref="A1:G2" displayName="Table_18" name="Table_18" id="18">
  <tableColumns count="7">
    <tableColumn name="Team" id="1"/>
    <tableColumn name="Month" id="2"/>
    <tableColumn name="Release Efficiency" id="3"/>
    <tableColumn name="Shipping Accuracy" id="4"/>
    <tableColumn name="Bug/Development Ratio" id="5"/>
    <tableColumn name="Planning Accuracy" id="6"/>
    <tableColumn name="Sprint Goal Success" id="7"/>
  </tableColumns>
  <tableStyleInfo name="Detail6-DataForce-1-style" showColumnStripes="0" showFirstColumn="1" showLastColumn="1" showRowStripes="1"/>
</table>
</file>

<file path=xl/tables/table19.xml><?xml version="1.0" encoding="utf-8"?>
<table xmlns="http://schemas.openxmlformats.org/spreadsheetml/2006/main" headerRowCount="0" ref="A1:AB6" displayName="Table_19" name="Table_19" id="19">
  <tableColumns count="28">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s>
  <tableStyleInfo name="Detail12-style" showColumnStripes="0" showFirstColumn="1" showLastColumn="1" showRowStripes="1"/>
  <extLst>
    <ext uri="GoogleSheetsCustomDataVersion1">
      <go:sheetsCustomData xmlns:go="http://customooxmlschemas.google.com/" headerRowCount="1"/>
    </ext>
  </extLst>
</table>
</file>

<file path=xl/tables/table20.xml><?xml version="1.0" encoding="utf-8"?>
<table xmlns="http://schemas.openxmlformats.org/spreadsheetml/2006/main" headerRowCount="0" ref="A1:AB9" displayName="Table_20" name="Table_20" id="20">
  <tableColumns count="28">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s>
  <tableStyleInfo name="Detail13-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40" Type="http://schemas.openxmlformats.org/officeDocument/2006/relationships/hyperlink" Target="https://winsider.atlassian.net/browse/DS-3220" TargetMode="External"/><Relationship Id="rId42" Type="http://schemas.openxmlformats.org/officeDocument/2006/relationships/hyperlink" Target="https://winsider.atlassian.net/browse/DS-3403" TargetMode="External"/><Relationship Id="rId41" Type="http://schemas.openxmlformats.org/officeDocument/2006/relationships/hyperlink" Target="https://winsider.atlassian.net/browse/DS-3356" TargetMode="External"/><Relationship Id="rId44" Type="http://schemas.openxmlformats.org/officeDocument/2006/relationships/hyperlink" Target="https://winsider.atlassian.net/browse/DS-2400" TargetMode="External"/><Relationship Id="rId43" Type="http://schemas.openxmlformats.org/officeDocument/2006/relationships/hyperlink" Target="https://winsider.atlassian.net/browse/DS-2400" TargetMode="External"/><Relationship Id="rId46" Type="http://schemas.openxmlformats.org/officeDocument/2006/relationships/hyperlink" Target="https://winsider.atlassian.net/browse/DS-2752" TargetMode="External"/><Relationship Id="rId45" Type="http://schemas.openxmlformats.org/officeDocument/2006/relationships/hyperlink" Target="https://winsider.atlassian.net/browse/DS-2696" TargetMode="External"/><Relationship Id="rId48" Type="http://schemas.openxmlformats.org/officeDocument/2006/relationships/hyperlink" Target="https://winsider.atlassian.net/browse/DS-2764" TargetMode="External"/><Relationship Id="rId47" Type="http://schemas.openxmlformats.org/officeDocument/2006/relationships/hyperlink" Target="https://winsider.atlassian.net/browse/DS-2760" TargetMode="External"/><Relationship Id="rId49" Type="http://schemas.openxmlformats.org/officeDocument/2006/relationships/hyperlink" Target="https://winsider.atlassian.net/browse/DS-2768" TargetMode="External"/><Relationship Id="rId103" Type="http://schemas.openxmlformats.org/officeDocument/2006/relationships/vmlDrawing" Target="../drawings/vmlDrawing5.vml"/><Relationship Id="rId102" Type="http://schemas.openxmlformats.org/officeDocument/2006/relationships/drawing" Target="../drawings/drawing6.xml"/><Relationship Id="rId101" Type="http://schemas.openxmlformats.org/officeDocument/2006/relationships/hyperlink" Target="https://winsider.atlassian.net/browse/DT-21349" TargetMode="External"/><Relationship Id="rId100" Type="http://schemas.openxmlformats.org/officeDocument/2006/relationships/hyperlink" Target="https://winsider.atlassian.net/browse/DT-21064" TargetMode="External"/><Relationship Id="rId31" Type="http://schemas.openxmlformats.org/officeDocument/2006/relationships/hyperlink" Target="https://winsider.atlassian.net/browse/DS-2728" TargetMode="External"/><Relationship Id="rId30" Type="http://schemas.openxmlformats.org/officeDocument/2006/relationships/hyperlink" Target="https://winsider.atlassian.net/browse/DS-2698" TargetMode="External"/><Relationship Id="rId33" Type="http://schemas.openxmlformats.org/officeDocument/2006/relationships/hyperlink" Target="https://winsider.atlassian.net/browse/DS-2886" TargetMode="External"/><Relationship Id="rId32" Type="http://schemas.openxmlformats.org/officeDocument/2006/relationships/hyperlink" Target="https://winsider.atlassian.net/browse/DS-2308" TargetMode="External"/><Relationship Id="rId35" Type="http://schemas.openxmlformats.org/officeDocument/2006/relationships/hyperlink" Target="https://winsider.atlassian.net/browse/DS-2919" TargetMode="External"/><Relationship Id="rId34" Type="http://schemas.openxmlformats.org/officeDocument/2006/relationships/hyperlink" Target="https://winsider.atlassian.net/browse/DS-2853" TargetMode="External"/><Relationship Id="rId37" Type="http://schemas.openxmlformats.org/officeDocument/2006/relationships/hyperlink" Target="https://winsider.atlassian.net/browse/DS-3128" TargetMode="External"/><Relationship Id="rId36" Type="http://schemas.openxmlformats.org/officeDocument/2006/relationships/hyperlink" Target="https://winsider.atlassian.net/browse/DS-2982" TargetMode="External"/><Relationship Id="rId39" Type="http://schemas.openxmlformats.org/officeDocument/2006/relationships/hyperlink" Target="https://winsider.atlassian.net/browse/DS-3206" TargetMode="External"/><Relationship Id="rId38" Type="http://schemas.openxmlformats.org/officeDocument/2006/relationships/hyperlink" Target="https://winsider.atlassian.net/browse/DS-3166" TargetMode="External"/><Relationship Id="rId20" Type="http://schemas.openxmlformats.org/officeDocument/2006/relationships/hyperlink" Target="https://winsider.atlassian.net/browse/DT-21351" TargetMode="External"/><Relationship Id="rId22" Type="http://schemas.openxmlformats.org/officeDocument/2006/relationships/hyperlink" Target="https://winsider.atlassian.net/browse/DS-2698" TargetMode="External"/><Relationship Id="rId21" Type="http://schemas.openxmlformats.org/officeDocument/2006/relationships/hyperlink" Target="https://winsider.atlassian.net/browse/DS-2445" TargetMode="External"/><Relationship Id="rId24" Type="http://schemas.openxmlformats.org/officeDocument/2006/relationships/hyperlink" Target="https://winsider.atlassian.net/browse/DS-3052" TargetMode="External"/><Relationship Id="rId23" Type="http://schemas.openxmlformats.org/officeDocument/2006/relationships/hyperlink" Target="https://winsider.atlassian.net/browse/DS-2955" TargetMode="External"/><Relationship Id="rId26" Type="http://schemas.openxmlformats.org/officeDocument/2006/relationships/hyperlink" Target="https://winsider.atlassian.net/browse/DS-3203" TargetMode="External"/><Relationship Id="rId25" Type="http://schemas.openxmlformats.org/officeDocument/2006/relationships/hyperlink" Target="https://winsider.atlassian.net/browse/DS-3078" TargetMode="External"/><Relationship Id="rId28" Type="http://schemas.openxmlformats.org/officeDocument/2006/relationships/hyperlink" Target="https://winsider.atlassian.net/browse/DS-2618" TargetMode="External"/><Relationship Id="rId27" Type="http://schemas.openxmlformats.org/officeDocument/2006/relationships/hyperlink" Target="https://winsider.atlassian.net/browse/DS-3358" TargetMode="External"/><Relationship Id="rId29" Type="http://schemas.openxmlformats.org/officeDocument/2006/relationships/hyperlink" Target="https://winsider.atlassian.net/browse/DS-2448" TargetMode="External"/><Relationship Id="rId95" Type="http://schemas.openxmlformats.org/officeDocument/2006/relationships/hyperlink" Target="https://winsider.atlassian.net/browse/DT-19101" TargetMode="External"/><Relationship Id="rId94" Type="http://schemas.openxmlformats.org/officeDocument/2006/relationships/hyperlink" Target="https://winsider.atlassian.net/browse/DT-17736" TargetMode="External"/><Relationship Id="rId97" Type="http://schemas.openxmlformats.org/officeDocument/2006/relationships/hyperlink" Target="https://winsider.atlassian.net/browse/DT-19931" TargetMode="External"/><Relationship Id="rId96" Type="http://schemas.openxmlformats.org/officeDocument/2006/relationships/hyperlink" Target="https://winsider.atlassian.net/browse/DT-17849" TargetMode="External"/><Relationship Id="rId11" Type="http://schemas.openxmlformats.org/officeDocument/2006/relationships/hyperlink" Target="https://winsider.atlassian.net/browse/DS-3010" TargetMode="External"/><Relationship Id="rId99" Type="http://schemas.openxmlformats.org/officeDocument/2006/relationships/hyperlink" Target="https://winsider.atlassian.net/browse/DT-21068" TargetMode="External"/><Relationship Id="rId10" Type="http://schemas.openxmlformats.org/officeDocument/2006/relationships/hyperlink" Target="https://winsider.atlassian.net/browse/DS-2939" TargetMode="External"/><Relationship Id="rId98" Type="http://schemas.openxmlformats.org/officeDocument/2006/relationships/hyperlink" Target="https://winsider.atlassian.net/browse/DT-19178" TargetMode="External"/><Relationship Id="rId13" Type="http://schemas.openxmlformats.org/officeDocument/2006/relationships/hyperlink" Target="https://winsider.atlassian.net/browse/DT-19099" TargetMode="External"/><Relationship Id="rId12" Type="http://schemas.openxmlformats.org/officeDocument/2006/relationships/hyperlink" Target="https://winsider.atlassian.net/browse/DS-3051" TargetMode="External"/><Relationship Id="rId91" Type="http://schemas.openxmlformats.org/officeDocument/2006/relationships/hyperlink" Target="https://winsider.atlassian.net/browse/DT-17346" TargetMode="External"/><Relationship Id="rId90" Type="http://schemas.openxmlformats.org/officeDocument/2006/relationships/hyperlink" Target="https://winsider.atlassian.net/browse/DT-16575" TargetMode="External"/><Relationship Id="rId93" Type="http://schemas.openxmlformats.org/officeDocument/2006/relationships/hyperlink" Target="https://winsider.atlassian.net/browse/DT-17739" TargetMode="External"/><Relationship Id="rId92" Type="http://schemas.openxmlformats.org/officeDocument/2006/relationships/hyperlink" Target="https://winsider.atlassian.net/browse/DT-17728" TargetMode="External"/><Relationship Id="rId15" Type="http://schemas.openxmlformats.org/officeDocument/2006/relationships/hyperlink" Target="https://winsider.atlassian.net/browse/DS-3018" TargetMode="External"/><Relationship Id="rId14" Type="http://schemas.openxmlformats.org/officeDocument/2006/relationships/hyperlink" Target="https://winsider.atlassian.net/browse/DS-3116" TargetMode="External"/><Relationship Id="rId17" Type="http://schemas.openxmlformats.org/officeDocument/2006/relationships/hyperlink" Target="https://winsider.atlassian.net/browse/DS-3230" TargetMode="External"/><Relationship Id="rId16" Type="http://schemas.openxmlformats.org/officeDocument/2006/relationships/hyperlink" Target="https://winsider.atlassian.net/browse/DS-3206" TargetMode="External"/><Relationship Id="rId19" Type="http://schemas.openxmlformats.org/officeDocument/2006/relationships/hyperlink" Target="https://winsider.atlassian.net/browse/DS-3397" TargetMode="External"/><Relationship Id="rId18" Type="http://schemas.openxmlformats.org/officeDocument/2006/relationships/hyperlink" Target="https://winsider.atlassian.net/browse/DS-3350" TargetMode="External"/><Relationship Id="rId84" Type="http://schemas.openxmlformats.org/officeDocument/2006/relationships/hyperlink" Target="https://winsider.atlassian.net/browse/DT-17851" TargetMode="External"/><Relationship Id="rId83" Type="http://schemas.openxmlformats.org/officeDocument/2006/relationships/hyperlink" Target="https://winsider.atlassian.net/browse/DT-17857" TargetMode="External"/><Relationship Id="rId86" Type="http://schemas.openxmlformats.org/officeDocument/2006/relationships/hyperlink" Target="https://winsider.atlassian.net/browse/DT-21074" TargetMode="External"/><Relationship Id="rId85" Type="http://schemas.openxmlformats.org/officeDocument/2006/relationships/hyperlink" Target="https://winsider.atlassian.net/browse/DT-20932" TargetMode="External"/><Relationship Id="rId88" Type="http://schemas.openxmlformats.org/officeDocument/2006/relationships/hyperlink" Target="https://winsider.atlassian.net/browse/DT-18462" TargetMode="External"/><Relationship Id="rId87" Type="http://schemas.openxmlformats.org/officeDocument/2006/relationships/hyperlink" Target="https://winsider.atlassian.net/browse/DT-21361" TargetMode="External"/><Relationship Id="rId89" Type="http://schemas.openxmlformats.org/officeDocument/2006/relationships/hyperlink" Target="https://winsider.atlassian.net/browse/DT-16281" TargetMode="External"/><Relationship Id="rId80" Type="http://schemas.openxmlformats.org/officeDocument/2006/relationships/hyperlink" Target="https://winsider.atlassian.net/browse/DT-17348" TargetMode="External"/><Relationship Id="rId82" Type="http://schemas.openxmlformats.org/officeDocument/2006/relationships/hyperlink" Target="https://winsider.atlassian.net/browse/DT-18458" TargetMode="External"/><Relationship Id="rId81" Type="http://schemas.openxmlformats.org/officeDocument/2006/relationships/hyperlink" Target="https://winsider.atlassian.net/browse/DT-17757" TargetMode="External"/><Relationship Id="rId1" Type="http://schemas.openxmlformats.org/officeDocument/2006/relationships/comments" Target="../comments5.xml"/><Relationship Id="rId2" Type="http://schemas.openxmlformats.org/officeDocument/2006/relationships/hyperlink" Target="https://winsider.atlassian.net/browse/DT-15652" TargetMode="External"/><Relationship Id="rId3" Type="http://schemas.openxmlformats.org/officeDocument/2006/relationships/hyperlink" Target="https://winsider.atlassian.net/browse/DS-2400" TargetMode="External"/><Relationship Id="rId4" Type="http://schemas.openxmlformats.org/officeDocument/2006/relationships/hyperlink" Target="https://winsider.atlassian.net/browse/DS-2696" TargetMode="External"/><Relationship Id="rId9" Type="http://schemas.openxmlformats.org/officeDocument/2006/relationships/hyperlink" Target="https://winsider.atlassian.net/browse/DS-2921" TargetMode="External"/><Relationship Id="rId5" Type="http://schemas.openxmlformats.org/officeDocument/2006/relationships/hyperlink" Target="https://winsider.atlassian.net/browse/DS-2752" TargetMode="External"/><Relationship Id="rId6" Type="http://schemas.openxmlformats.org/officeDocument/2006/relationships/hyperlink" Target="https://winsider.atlassian.net/browse/DS-2760" TargetMode="External"/><Relationship Id="rId7" Type="http://schemas.openxmlformats.org/officeDocument/2006/relationships/hyperlink" Target="https://winsider.atlassian.net/browse/DS-2764" TargetMode="External"/><Relationship Id="rId8" Type="http://schemas.openxmlformats.org/officeDocument/2006/relationships/hyperlink" Target="https://winsider.atlassian.net/browse/DT-17348" TargetMode="External"/><Relationship Id="rId73" Type="http://schemas.openxmlformats.org/officeDocument/2006/relationships/hyperlink" Target="https://winsider.atlassian.net/browse/DT-20936" TargetMode="External"/><Relationship Id="rId72" Type="http://schemas.openxmlformats.org/officeDocument/2006/relationships/hyperlink" Target="https://winsider.atlassian.net/browse/DT-20497" TargetMode="External"/><Relationship Id="rId75" Type="http://schemas.openxmlformats.org/officeDocument/2006/relationships/hyperlink" Target="https://winsider.atlassian.net/browse/DT-21351" TargetMode="External"/><Relationship Id="rId74" Type="http://schemas.openxmlformats.org/officeDocument/2006/relationships/hyperlink" Target="https://winsider.atlassian.net/browse/DT-21070" TargetMode="External"/><Relationship Id="rId77" Type="http://schemas.openxmlformats.org/officeDocument/2006/relationships/hyperlink" Target="https://winsider.atlassian.net/browse/DT-15809" TargetMode="External"/><Relationship Id="rId76" Type="http://schemas.openxmlformats.org/officeDocument/2006/relationships/hyperlink" Target="https://winsider.atlassian.net/browse/DT-15652" TargetMode="External"/><Relationship Id="rId79" Type="http://schemas.openxmlformats.org/officeDocument/2006/relationships/hyperlink" Target="https://winsider.atlassian.net/browse/DT-17142" TargetMode="External"/><Relationship Id="rId78" Type="http://schemas.openxmlformats.org/officeDocument/2006/relationships/hyperlink" Target="https://winsider.atlassian.net/browse/DT-16847" TargetMode="External"/><Relationship Id="rId71" Type="http://schemas.openxmlformats.org/officeDocument/2006/relationships/hyperlink" Target="https://winsider.atlassian.net/browse/DT-20111" TargetMode="External"/><Relationship Id="rId70" Type="http://schemas.openxmlformats.org/officeDocument/2006/relationships/hyperlink" Target="https://winsider.atlassian.net/browse/DT-19099" TargetMode="External"/><Relationship Id="rId62" Type="http://schemas.openxmlformats.org/officeDocument/2006/relationships/hyperlink" Target="https://winsider.atlassian.net/browse/DT-15651" TargetMode="External"/><Relationship Id="rId61" Type="http://schemas.openxmlformats.org/officeDocument/2006/relationships/hyperlink" Target="https://winsider.atlassian.net/browse/DS-3401" TargetMode="External"/><Relationship Id="rId64" Type="http://schemas.openxmlformats.org/officeDocument/2006/relationships/hyperlink" Target="https://winsider.atlassian.net/browse/DT-14773" TargetMode="External"/><Relationship Id="rId63" Type="http://schemas.openxmlformats.org/officeDocument/2006/relationships/hyperlink" Target="https://winsider.atlassian.net/browse/DT-15808" TargetMode="External"/><Relationship Id="rId66" Type="http://schemas.openxmlformats.org/officeDocument/2006/relationships/hyperlink" Target="https://winsider.atlassian.net/browse/DT-16860" TargetMode="External"/><Relationship Id="rId65" Type="http://schemas.openxmlformats.org/officeDocument/2006/relationships/hyperlink" Target="https://winsider.atlassian.net/browse/DT-16204" TargetMode="External"/><Relationship Id="rId68" Type="http://schemas.openxmlformats.org/officeDocument/2006/relationships/hyperlink" Target="https://winsider.atlassian.net/browse/DT-17586" TargetMode="External"/><Relationship Id="rId67" Type="http://schemas.openxmlformats.org/officeDocument/2006/relationships/hyperlink" Target="https://winsider.atlassian.net/browse/DT-16649" TargetMode="External"/><Relationship Id="rId60" Type="http://schemas.openxmlformats.org/officeDocument/2006/relationships/hyperlink" Target="https://winsider.atlassian.net/browse/DS-3397" TargetMode="External"/><Relationship Id="rId69" Type="http://schemas.openxmlformats.org/officeDocument/2006/relationships/hyperlink" Target="https://winsider.atlassian.net/browse/DT-1785" TargetMode="External"/><Relationship Id="rId51" Type="http://schemas.openxmlformats.org/officeDocument/2006/relationships/hyperlink" Target="https://winsider.atlassian.net/browse/DS-2939" TargetMode="External"/><Relationship Id="rId50" Type="http://schemas.openxmlformats.org/officeDocument/2006/relationships/hyperlink" Target="https://winsider.atlassian.net/browse/DS-2921" TargetMode="External"/><Relationship Id="rId53" Type="http://schemas.openxmlformats.org/officeDocument/2006/relationships/hyperlink" Target="https://winsider.atlassian.net/browse/DS-3051" TargetMode="External"/><Relationship Id="rId52" Type="http://schemas.openxmlformats.org/officeDocument/2006/relationships/hyperlink" Target="https://winsider.atlassian.net/browse/DS-3010" TargetMode="External"/><Relationship Id="rId55" Type="http://schemas.openxmlformats.org/officeDocument/2006/relationships/hyperlink" Target="https://winsider.atlassian.net/browse/DS-3116" TargetMode="External"/><Relationship Id="rId54" Type="http://schemas.openxmlformats.org/officeDocument/2006/relationships/hyperlink" Target="https://winsider.atlassian.net/browse/DS-3062" TargetMode="External"/><Relationship Id="rId57" Type="http://schemas.openxmlformats.org/officeDocument/2006/relationships/hyperlink" Target="https://winsider.atlassian.net/browse/DS-3208" TargetMode="External"/><Relationship Id="rId56" Type="http://schemas.openxmlformats.org/officeDocument/2006/relationships/hyperlink" Target="https://winsider.atlassian.net/browse/DS-3018" TargetMode="External"/><Relationship Id="rId59" Type="http://schemas.openxmlformats.org/officeDocument/2006/relationships/hyperlink" Target="https://winsider.atlassian.net/browse/DS-3350" TargetMode="External"/><Relationship Id="rId58" Type="http://schemas.openxmlformats.org/officeDocument/2006/relationships/hyperlink" Target="https://winsider.atlassian.net/browse/DS-3230" TargetMode="Externa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0" Type="http://schemas.openxmlformats.org/officeDocument/2006/relationships/hyperlink" Target="https://docs.google.com/spreadsheets/d/1G6h05tLXQmp8PxCsCsLH83CJfj-bpuBaeIJz6t0Vd4E/edit?gid=562281694" TargetMode="External"/><Relationship Id="rId22" Type="http://schemas.openxmlformats.org/officeDocument/2006/relationships/vmlDrawing" Target="../drawings/vmlDrawing9.vml"/><Relationship Id="rId21" Type="http://schemas.openxmlformats.org/officeDocument/2006/relationships/drawing" Target="../drawings/drawing10.xml"/><Relationship Id="rId11" Type="http://schemas.openxmlformats.org/officeDocument/2006/relationships/hyperlink" Target="https://docs.google.com/spreadsheets/d/1fl-WrIr2zSM5d3Fc9bCMuOrNl8aOI-tOpw0XC05HKHw/edit" TargetMode="External"/><Relationship Id="rId10" Type="http://schemas.openxmlformats.org/officeDocument/2006/relationships/hyperlink" Target="https://docs.google.com/spreadsheets/d/1EDo5cufGw_ckt0k301wlVvUQtLXnCffhEZucV5InlCw/edit" TargetMode="External"/><Relationship Id="rId13" Type="http://schemas.openxmlformats.org/officeDocument/2006/relationships/hyperlink" Target="https://docs.google.com/spreadsheets/d/1Zbyc95RDEG3GPK99j1afWFEPTzCSOMOIC2TpC8dp5_8/edit?gid=562281694" TargetMode="External"/><Relationship Id="rId12" Type="http://schemas.openxmlformats.org/officeDocument/2006/relationships/hyperlink" Target="https://docs.google.com/spreadsheets/d/1S7MtUWXrADZ4JuzduTqFTVpIFxB7GEZzbKcj0sMQ7nc/edit" TargetMode="External"/><Relationship Id="rId15" Type="http://schemas.openxmlformats.org/officeDocument/2006/relationships/hyperlink" Target="https://docs.google.com/spreadsheets/d/149RgVpZW9KJAXlMLqw65UadZj7eZrIeMJtG88D5fqtk/edit?gid=996343888" TargetMode="External"/><Relationship Id="rId14" Type="http://schemas.openxmlformats.org/officeDocument/2006/relationships/hyperlink" Target="https://docs.google.com/spreadsheets/d/1rWrad9cs5bg8aObFuE_rBhHSZqq2Qx59Ms-6aiIyJTM/edit?gid=562281694" TargetMode="External"/><Relationship Id="rId17" Type="http://schemas.openxmlformats.org/officeDocument/2006/relationships/hyperlink" Target="https://docs.google.com/spreadsheets/d/11OKrVwQNTwBlk9xZIKKswPc7WEETvSRryVzWM7EjnBk/edit?gid=1001913119" TargetMode="External"/><Relationship Id="rId16" Type="http://schemas.openxmlformats.org/officeDocument/2006/relationships/hyperlink" Target="https://docs.google.com/spreadsheets/d/1HVJT7KuWoVJAhPdaWDJcjJLM4Nd6SVhI90Tp3A4DOdE/edit?gid=562281694" TargetMode="External"/><Relationship Id="rId19" Type="http://schemas.openxmlformats.org/officeDocument/2006/relationships/hyperlink" Target="https://docs.google.com/spreadsheets/d/1_xb1jt33NNNKOBypZHMX4RgSBEOTs4qL5hkGKBqMILQ/edit?gid=996343888" TargetMode="External"/><Relationship Id="rId18" Type="http://schemas.openxmlformats.org/officeDocument/2006/relationships/hyperlink" Target="https://docs.google.com/spreadsheets/d/1CHIoRf2YhegMfo-ifFwEVQeec2Ub8a7NifjllBCC2aQ/edit?gid=562281694" TargetMode="External"/><Relationship Id="rId1" Type="http://schemas.openxmlformats.org/officeDocument/2006/relationships/comments" Target="../comments9.xml"/><Relationship Id="rId2" Type="http://schemas.openxmlformats.org/officeDocument/2006/relationships/hyperlink" Target="https://docs.google.com/spreadsheets/d/1QFfsvtyaLnJw1qQOsM2gcmMn5JiCbowW18WGKd_NjEE/edit" TargetMode="External"/><Relationship Id="rId3" Type="http://schemas.openxmlformats.org/officeDocument/2006/relationships/hyperlink" Target="https://docs.google.com/spreadsheets/d/1B6FH9lz7vuN4Kn_9V545B7BZNOuF_JKzk9jqVtMQclQ/edit" TargetMode="External"/><Relationship Id="rId4" Type="http://schemas.openxmlformats.org/officeDocument/2006/relationships/hyperlink" Target="https://docs.google.com/spreadsheets/d/1UsFVbVVKWCf_mdaqSws6dXw79uB9QhFh6Juybt_6F8o/edit" TargetMode="External"/><Relationship Id="rId9" Type="http://schemas.openxmlformats.org/officeDocument/2006/relationships/hyperlink" Target="https://docs.google.com/spreadsheets/d/13IEb5ZNBVhbAUm1yJUb-44zXaxiSO6q6k7o7Oaz5z6c/edit" TargetMode="External"/><Relationship Id="rId5" Type="http://schemas.openxmlformats.org/officeDocument/2006/relationships/hyperlink" Target="https://docs.google.com/spreadsheets/d/15FgaLyLDyLjZOrgQIuibZPUwj_D3svx8gG48WczRTZM/edit" TargetMode="External"/><Relationship Id="rId6" Type="http://schemas.openxmlformats.org/officeDocument/2006/relationships/hyperlink" Target="https://docs.google.com/spreadsheets/d/1P78SL20Vpj24wtSHxn1cgBajLvNNyI_9b0aBnUAtONA/edit" TargetMode="External"/><Relationship Id="rId7" Type="http://schemas.openxmlformats.org/officeDocument/2006/relationships/hyperlink" Target="https://docs.google.com/spreadsheets/d/12bmyfkL5iE2MXgN5h_6_huxrXr_21KioglRqqSkdmzQ/edit" TargetMode="External"/><Relationship Id="rId8" Type="http://schemas.openxmlformats.org/officeDocument/2006/relationships/hyperlink" Target="https://docs.google.com/spreadsheets/d/1Ip0AwCrTYDUdcNbfyBPsmRhdMoJWkAwbXHWWr3kF9Nw/edit" TargetMode="External"/></Relationships>
</file>

<file path=xl/worksheets/_rels/sheet11.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1.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2.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3.xml"/><Relationship Id="rId3"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0" Type="http://schemas.openxmlformats.org/officeDocument/2006/relationships/hyperlink" Target="https://metroretro.io/BONCHV2DZU75" TargetMode="External"/><Relationship Id="rId22" Type="http://schemas.openxmlformats.org/officeDocument/2006/relationships/drawing" Target="../drawings/drawing14.xml"/><Relationship Id="rId21" Type="http://schemas.openxmlformats.org/officeDocument/2006/relationships/hyperlink" Target="https://metroretro.io/BOKR2DMA1DGN?action=template" TargetMode="External"/><Relationship Id="rId23" Type="http://schemas.openxmlformats.org/officeDocument/2006/relationships/vmlDrawing" Target="../drawings/vmlDrawing13.vml"/><Relationship Id="rId11" Type="http://schemas.openxmlformats.org/officeDocument/2006/relationships/hyperlink" Target="https://metroretro.io/BOW3WSK7RBHB" TargetMode="External"/><Relationship Id="rId10" Type="http://schemas.openxmlformats.org/officeDocument/2006/relationships/hyperlink" Target="https://metroretro.io/BOQ5P174KU50" TargetMode="External"/><Relationship Id="rId13" Type="http://schemas.openxmlformats.org/officeDocument/2006/relationships/hyperlink" Target="https://metroretro.io/BOUAIWHUBCNF" TargetMode="External"/><Relationship Id="rId12" Type="http://schemas.openxmlformats.org/officeDocument/2006/relationships/hyperlink" Target="https://metroretro.io/BOBQBQ8PQ1BQ" TargetMode="External"/><Relationship Id="rId15" Type="http://schemas.openxmlformats.org/officeDocument/2006/relationships/hyperlink" Target="https://metroretro.io/BOLKXYXUXB2O" TargetMode="External"/><Relationship Id="rId14" Type="http://schemas.openxmlformats.org/officeDocument/2006/relationships/hyperlink" Target="https://metroretro.io/BOAOLG08CHDQ" TargetMode="External"/><Relationship Id="rId17" Type="http://schemas.openxmlformats.org/officeDocument/2006/relationships/hyperlink" Target="https://metroretro.io/BOO0YTXCFJ8S?action=template" TargetMode="External"/><Relationship Id="rId16" Type="http://schemas.openxmlformats.org/officeDocument/2006/relationships/hyperlink" Target="https://metroretro.io/BOINFBL6J9IF" TargetMode="External"/><Relationship Id="rId19" Type="http://schemas.openxmlformats.org/officeDocument/2006/relationships/hyperlink" Target="https://metroretro.io/BO1052PZ1C4P?action=template" TargetMode="External"/><Relationship Id="rId18" Type="http://schemas.openxmlformats.org/officeDocument/2006/relationships/hyperlink" Target="https://metroretro.io/BOULPBBDK1QR?action=template" TargetMode="External"/><Relationship Id="rId1" Type="http://schemas.openxmlformats.org/officeDocument/2006/relationships/comments" Target="../comments13.xml"/><Relationship Id="rId2" Type="http://schemas.openxmlformats.org/officeDocument/2006/relationships/hyperlink" Target="https://metroretro.io/BO0CNCYX1YPO" TargetMode="External"/><Relationship Id="rId3" Type="http://schemas.openxmlformats.org/officeDocument/2006/relationships/hyperlink" Target="https://metroretro.io/BOTLB2959482" TargetMode="External"/><Relationship Id="rId4" Type="http://schemas.openxmlformats.org/officeDocument/2006/relationships/hyperlink" Target="https://metroretro.io/BOSB7VHMOM4T" TargetMode="External"/><Relationship Id="rId9" Type="http://schemas.openxmlformats.org/officeDocument/2006/relationships/hyperlink" Target="https://metroretro.io/BOSAEQ4RWDJ8" TargetMode="External"/><Relationship Id="rId5" Type="http://schemas.openxmlformats.org/officeDocument/2006/relationships/hyperlink" Target="https://metroretro.io/BOH2HT9GM22N" TargetMode="External"/><Relationship Id="rId6" Type="http://schemas.openxmlformats.org/officeDocument/2006/relationships/hyperlink" Target="https://metroretro.io/BOUD8IP2XHTJ" TargetMode="External"/><Relationship Id="rId7" Type="http://schemas.openxmlformats.org/officeDocument/2006/relationships/hyperlink" Target="https://metroretro.io/BO5J3S8A036K" TargetMode="External"/><Relationship Id="rId8" Type="http://schemas.openxmlformats.org/officeDocument/2006/relationships/hyperlink" Target="https://metroretro.io/BOJ0F6DHMQVZ" TargetMode="External"/></Relationships>
</file>

<file path=xl/worksheets/_rels/sheet15.xml.rels><?xml version="1.0" encoding="UTF-8" standalone="yes"?><Relationships xmlns="http://schemas.openxmlformats.org/package/2006/relationships"><Relationship Id="rId11" Type="http://schemas.openxmlformats.org/officeDocument/2006/relationships/vmlDrawing" Target="../drawings/vmlDrawing14.vml"/><Relationship Id="rId10" Type="http://schemas.openxmlformats.org/officeDocument/2006/relationships/drawing" Target="../drawings/drawing15.xml"/><Relationship Id="rId1" Type="http://schemas.openxmlformats.org/officeDocument/2006/relationships/comments" Target="../comments14.xml"/><Relationship Id="rId2" Type="http://schemas.openxmlformats.org/officeDocument/2006/relationships/hyperlink" Target="https://metroretro.io/BOMBZ90G8NR2" TargetMode="External"/><Relationship Id="rId3" Type="http://schemas.openxmlformats.org/officeDocument/2006/relationships/hyperlink" Target="https://metroretro.io/BORWY6DRKVZN" TargetMode="External"/><Relationship Id="rId4" Type="http://schemas.openxmlformats.org/officeDocument/2006/relationships/hyperlink" Target="https://metroretro.io/BOTX2IRTFGHQ" TargetMode="External"/><Relationship Id="rId9" Type="http://schemas.openxmlformats.org/officeDocument/2006/relationships/hyperlink" Target="https://metroretro.io/BOBFF628P0MT" TargetMode="External"/><Relationship Id="rId5" Type="http://schemas.openxmlformats.org/officeDocument/2006/relationships/hyperlink" Target="https://metroretro.io/BOLBF8MLAN8P" TargetMode="External"/><Relationship Id="rId6" Type="http://schemas.openxmlformats.org/officeDocument/2006/relationships/hyperlink" Target="https://metroretro.io/BOERX7KDP7W0" TargetMode="External"/><Relationship Id="rId7" Type="http://schemas.openxmlformats.org/officeDocument/2006/relationships/hyperlink" Target="https://metroretro.io/BOFEBCHTLBAD" TargetMode="External"/><Relationship Id="rId8" Type="http://schemas.openxmlformats.org/officeDocument/2006/relationships/hyperlink" Target="https://metroretro.io/BOVGYZADM5SV" TargetMode="External"/></Relationships>
</file>

<file path=xl/worksheets/_rels/sheet16.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16.xml"/><Relationship Id="rId3"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11" Type="http://schemas.openxmlformats.org/officeDocument/2006/relationships/drawing" Target="../drawings/drawing17.xml"/><Relationship Id="rId10" Type="http://schemas.openxmlformats.org/officeDocument/2006/relationships/hyperlink" Target="https://winsider.atlassian.net/browse/SD-109437" TargetMode="External"/><Relationship Id="rId12" Type="http://schemas.openxmlformats.org/officeDocument/2006/relationships/vmlDrawing" Target="../drawings/vmlDrawing16.vml"/><Relationship Id="rId1" Type="http://schemas.openxmlformats.org/officeDocument/2006/relationships/comments" Target="../comments16.xml"/><Relationship Id="rId2" Type="http://schemas.openxmlformats.org/officeDocument/2006/relationships/hyperlink" Target="https://winsider.atlassian.net/browse/SD-104061" TargetMode="External"/><Relationship Id="rId3" Type="http://schemas.openxmlformats.org/officeDocument/2006/relationships/hyperlink" Target="https://winsider.atlassian.net/browse/SD-104863" TargetMode="External"/><Relationship Id="rId4" Type="http://schemas.openxmlformats.org/officeDocument/2006/relationships/hyperlink" Target="https://winsider.atlassian.net/browse/SD-105329" TargetMode="External"/><Relationship Id="rId9" Type="http://schemas.openxmlformats.org/officeDocument/2006/relationships/hyperlink" Target="https://winsider.atlassian.net/browse/SD-108833" TargetMode="External"/><Relationship Id="rId5" Type="http://schemas.openxmlformats.org/officeDocument/2006/relationships/hyperlink" Target="https://winsider.atlassian.net/browse/SD-105781" TargetMode="External"/><Relationship Id="rId6" Type="http://schemas.openxmlformats.org/officeDocument/2006/relationships/hyperlink" Target="https://winsider.atlassian.net/browse/SD-107020" TargetMode="External"/><Relationship Id="rId7" Type="http://schemas.openxmlformats.org/officeDocument/2006/relationships/hyperlink" Target="https://winsider.atlassian.net/browse/SD-107790" TargetMode="External"/><Relationship Id="rId8" Type="http://schemas.openxmlformats.org/officeDocument/2006/relationships/hyperlink" Target="https://winsider.atlassian.net/browse/SD-108207" TargetMode="External"/></Relationships>
</file>

<file path=xl/worksheets/_rels/sheet18.xml.rels><?xml version="1.0" encoding="UTF-8" standalone="yes"?><Relationships xmlns="http://schemas.openxmlformats.org/package/2006/relationships"><Relationship Id="rId1" Type="http://schemas.openxmlformats.org/officeDocument/2006/relationships/comments" Target="../comments17.xml"/><Relationship Id="rId2" Type="http://schemas.openxmlformats.org/officeDocument/2006/relationships/drawing" Target="../drawings/drawing18.xml"/><Relationship Id="rId3"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1" Type="http://schemas.openxmlformats.org/officeDocument/2006/relationships/comments" Target="../comments18.xml"/><Relationship Id="rId2" Type="http://schemas.openxmlformats.org/officeDocument/2006/relationships/hyperlink" Target="https://docs.google.com/spreadsheets/d/1uyM12JOsnSs8_5hjopJpc9TWkpNGMF8V1FLqLkRCk3s/edit" TargetMode="External"/><Relationship Id="rId3" Type="http://schemas.openxmlformats.org/officeDocument/2006/relationships/hyperlink" Target="https://docs.google.com/spreadsheets/d/1j1ErUAEjGfIRfzndA1YXGFRr0I1LopFkX-gRdoFvn-Y/edit" TargetMode="External"/><Relationship Id="rId4" Type="http://schemas.openxmlformats.org/officeDocument/2006/relationships/hyperlink" Target="https://docs.google.com/spreadsheets/d/1EOakTXx4oZREBP0zPqpypkvacIBxpyJiwtfvKy7JZ_w/edit?usp=sharing" TargetMode="External"/><Relationship Id="rId5" Type="http://schemas.openxmlformats.org/officeDocument/2006/relationships/hyperlink" Target="https://docs.google.com/spreadsheets/d/1D3E9mQlwlNOM_EwP41av0v5Zjc9FsIUBqEKFW-akDvs/edit" TargetMode="External"/><Relationship Id="rId6" Type="http://schemas.openxmlformats.org/officeDocument/2006/relationships/hyperlink" Target="mailto:hasan.alay@useinsider.com" TargetMode="External"/><Relationship Id="rId7" Type="http://schemas.openxmlformats.org/officeDocument/2006/relationships/drawing" Target="../drawings/drawing19.xml"/><Relationship Id="rId8"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9.xml"/><Relationship Id="rId2" Type="http://schemas.openxmlformats.org/officeDocument/2006/relationships/drawing" Target="../drawings/drawing20.xml"/><Relationship Id="rId3"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comments" Target="../comments20.xml"/><Relationship Id="rId2" Type="http://schemas.openxmlformats.org/officeDocument/2006/relationships/drawing" Target="../drawings/drawing22.xml"/><Relationship Id="rId3"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21.xml"/><Relationship Id="rId2" Type="http://schemas.openxmlformats.org/officeDocument/2006/relationships/drawing" Target="../drawings/drawing23.xml"/><Relationship Id="rId3" Type="http://schemas.openxmlformats.org/officeDocument/2006/relationships/vmlDrawing" Target="../drawings/vmlDrawing21.vml"/></Relationships>
</file>

<file path=xl/worksheets/_rels/sheet24.xml.rels><?xml version="1.0" encoding="UTF-8" standalone="yes"?><Relationships xmlns="http://schemas.openxmlformats.org/package/2006/relationships"><Relationship Id="rId1" Type="http://schemas.openxmlformats.org/officeDocument/2006/relationships/comments" Target="../comments22.xml"/><Relationship Id="rId2" Type="http://schemas.openxmlformats.org/officeDocument/2006/relationships/drawing" Target="../drawings/drawing24.xml"/><Relationship Id="rId3" Type="http://schemas.openxmlformats.org/officeDocument/2006/relationships/vmlDrawing" Target="../drawings/vmlDrawing22.vml"/></Relationships>
</file>

<file path=xl/worksheets/_rels/sheet25.xml.rels><?xml version="1.0" encoding="UTF-8" standalone="yes"?><Relationships xmlns="http://schemas.openxmlformats.org/package/2006/relationships"><Relationship Id="rId1" Type="http://schemas.openxmlformats.org/officeDocument/2006/relationships/comments" Target="../comments23.xml"/><Relationship Id="rId2" Type="http://schemas.openxmlformats.org/officeDocument/2006/relationships/drawing" Target="../drawings/drawing25.xml"/><Relationship Id="rId3" Type="http://schemas.openxmlformats.org/officeDocument/2006/relationships/vmlDrawing" Target="../drawings/vmlDrawing23.vml"/></Relationships>
</file>

<file path=xl/worksheets/_rels/sheet26.xml.rels><?xml version="1.0" encoding="UTF-8" standalone="yes"?><Relationships xmlns="http://schemas.openxmlformats.org/package/2006/relationships"><Relationship Id="rId20" Type="http://schemas.openxmlformats.org/officeDocument/2006/relationships/hyperlink" Target="https://docs.google.com/spreadsheets/d/14aiB2GuQ2Zc310kuYNsAbOpWcf6JhGIfGBtWxE6AmHM/edit?usp=sharing" TargetMode="External"/><Relationship Id="rId22" Type="http://schemas.openxmlformats.org/officeDocument/2006/relationships/vmlDrawing" Target="../drawings/vmlDrawing24.vml"/><Relationship Id="rId21" Type="http://schemas.openxmlformats.org/officeDocument/2006/relationships/drawing" Target="../drawings/drawing26.xml"/><Relationship Id="rId11" Type="http://schemas.openxmlformats.org/officeDocument/2006/relationships/hyperlink" Target="https://docs.google.com/spreadsheets/d/1p6ESn9ITcnqcVVM1xAJUCuNw9EdAc8NqAi6HMwrdAVk/edit?usp=sharing" TargetMode="External"/><Relationship Id="rId10" Type="http://schemas.openxmlformats.org/officeDocument/2006/relationships/hyperlink" Target="https://docs.google.com/spreadsheets/d/1c5hWlgkf2ULjGxT77STHckGCQBa-BOvDE65LWxv9IwU/edit?usp=sharing" TargetMode="External"/><Relationship Id="rId13" Type="http://schemas.openxmlformats.org/officeDocument/2006/relationships/hyperlink" Target="https://docs.google.com/spreadsheets/d/1eSejv72M_iJc5VoX4PUfkpSCiVLP8V1WYFvdonkdYOc/edit?gid=1581546378" TargetMode="External"/><Relationship Id="rId12" Type="http://schemas.openxmlformats.org/officeDocument/2006/relationships/hyperlink" Target="https://docs.google.com/spreadsheets/d/1vHAGgv0JNuOZESf8a_EW1OwLat6tcHSBdHQ8qyk7yNY/edit?usp=sharing" TargetMode="External"/><Relationship Id="rId15" Type="http://schemas.openxmlformats.org/officeDocument/2006/relationships/hyperlink" Target="https://docs.google.com/spreadsheets/d/1AjX0f39nTYFPVF6FOuvgNNlLrxJDZaPSf_YOnOl_e-g/edit?usp=sharing" TargetMode="External"/><Relationship Id="rId14" Type="http://schemas.openxmlformats.org/officeDocument/2006/relationships/hyperlink" Target="https://docs.google.com/spreadsheets/d/1smrQJ3e6iVaPvJZWngW8BPprjQvoXLQRtQRaJTYKc-k/edit?gid=1903007478" TargetMode="External"/><Relationship Id="rId17" Type="http://schemas.openxmlformats.org/officeDocument/2006/relationships/hyperlink" Target="https://docs.google.com/spreadsheets/d/1O811dHnIRFfnmuWMvm_t_7jAEOK_r-Y48rqy18GJ48Q/edit?usp=sharing" TargetMode="External"/><Relationship Id="rId16" Type="http://schemas.openxmlformats.org/officeDocument/2006/relationships/hyperlink" Target="https://docs.google.com/spreadsheets/d/1AnKbVJ3jdkwVfUpqlIZpAWUSx-_ltSpWa4FO37i58uU/edit?usp=sharing" TargetMode="External"/><Relationship Id="rId19" Type="http://schemas.openxmlformats.org/officeDocument/2006/relationships/hyperlink" Target="https://docs.google.com/spreadsheets/d/1O7Ojd3KfdpTwMW3Bo9YOTs9Z1PiAvwrT7o1AwgW4lkk/edit?usp=sharing" TargetMode="External"/><Relationship Id="rId18" Type="http://schemas.openxmlformats.org/officeDocument/2006/relationships/hyperlink" Target="https://docs.google.com/spreadsheets/d/1Tp76lt9L3_Sze9qyjKSjAvzMbtOLo9FpfqyK_-Z0baI/edit?usp=sharing" TargetMode="External"/><Relationship Id="rId1" Type="http://schemas.openxmlformats.org/officeDocument/2006/relationships/comments" Target="../comments24.xml"/><Relationship Id="rId2" Type="http://schemas.openxmlformats.org/officeDocument/2006/relationships/hyperlink" Target="https://docs.google.com/spreadsheets/d/17UOAKFViOamquhh2hBnrIr6_RwFsx4vwejGS9knyztI/edit?usp=sharing" TargetMode="External"/><Relationship Id="rId3" Type="http://schemas.openxmlformats.org/officeDocument/2006/relationships/hyperlink" Target="https://docs.google.com/spreadsheets/d/1TNBQIVyPjIc7RAdD30m_V07L60WtEWQfHlIbLfonGfk/edit?usp=sharing" TargetMode="External"/><Relationship Id="rId4" Type="http://schemas.openxmlformats.org/officeDocument/2006/relationships/hyperlink" Target="https://docs.google.com/spreadsheets/d/1wwsnGhUXfCbzN1L-S2_7JcmTaHpA8PfBTgkC-mc6Vuw/edit?usp=sharing" TargetMode="External"/><Relationship Id="rId9" Type="http://schemas.openxmlformats.org/officeDocument/2006/relationships/hyperlink" Target="http://s/" TargetMode="External"/><Relationship Id="rId5" Type="http://schemas.openxmlformats.org/officeDocument/2006/relationships/hyperlink" Target="https://docs.google.com/spreadsheets/d/1o3UhbBy2rXX87_Xe-99UoY2X3Ce77_iTcTF2x2WGhKc/edit?usp=sharing" TargetMode="External"/><Relationship Id="rId6" Type="http://schemas.openxmlformats.org/officeDocument/2006/relationships/hyperlink" Target="https://docs.google.com/spreadsheets/d/1wfdixxZWIDRIYul3VPCr9YKJlw0Bq23-1W2Ame98eJo/edit?usp=sharing" TargetMode="External"/><Relationship Id="rId7" Type="http://schemas.openxmlformats.org/officeDocument/2006/relationships/hyperlink" Target="https://docs.google.com/spreadsheets/d/1ItflSB_i62pC-blf8CQXVo6QCkgmASadq2vzVGSIMH4/edit?usp=sharing" TargetMode="External"/><Relationship Id="rId8" Type="http://schemas.openxmlformats.org/officeDocument/2006/relationships/hyperlink" Target="https://docs.google.com/spreadsheets/d/1Z7_s24u2XAvX3isgy1KZp-M_3x2HWVBWQ8YKp8kXTZI/edit?usp=sharing"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comments" Target="../comments25.xml"/><Relationship Id="rId2" Type="http://schemas.openxmlformats.org/officeDocument/2006/relationships/pivotTable" Target="../pivotTables/pivotTable4.xml"/><Relationship Id="rId3" Type="http://schemas.openxmlformats.org/officeDocument/2006/relationships/drawing" Target="../drawings/drawing32.xml"/><Relationship Id="rId4" Type="http://schemas.openxmlformats.org/officeDocument/2006/relationships/vmlDrawing" Target="../drawings/vmlDrawing25.v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 Id="rId3" Type="http://schemas.openxmlformats.org/officeDocument/2006/relationships/table" Target="../tables/table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 Id="rId3" Type="http://schemas.openxmlformats.org/officeDocument/2006/relationships/table" Target="../tables/table2.xml"/></Relationships>
</file>

<file path=xl/worksheets/_rels/sheet35.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pivotTable" Target="../pivotTables/pivotTable6.xml"/><Relationship Id="rId3"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 Id="rId3" Type="http://schemas.openxmlformats.org/officeDocument/2006/relationships/table" Target="../tables/table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 Id="rId3" Type="http://schemas.openxmlformats.org/officeDocument/2006/relationships/table" Target="../tables/table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 Id="rId3" Type="http://schemas.openxmlformats.org/officeDocument/2006/relationships/table" Target="../tables/table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 Id="rId3" Type="http://schemas.openxmlformats.org/officeDocument/2006/relationships/table" Target="../tables/table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 Id="rId3" Type="http://schemas.openxmlformats.org/officeDocument/2006/relationships/table" Target="../tables/table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 Id="rId3" Type="http://schemas.openxmlformats.org/officeDocument/2006/relationships/table" Target="../tables/table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 Id="rId3" Type="http://schemas.openxmlformats.org/officeDocument/2006/relationships/table" Target="../tables/table9.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 Id="rId3" Type="http://schemas.openxmlformats.org/officeDocument/2006/relationships/table" Target="../tables/table10.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 Id="rId3" Type="http://schemas.openxmlformats.org/officeDocument/2006/relationships/table" Target="../tables/table1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 Id="rId3" Type="http://schemas.openxmlformats.org/officeDocument/2006/relationships/table" Target="../tables/table1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 Id="rId3" Type="http://schemas.openxmlformats.org/officeDocument/2006/relationships/table" Target="../tables/table1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 Id="rId3" Type="http://schemas.openxmlformats.org/officeDocument/2006/relationships/table" Target="../tables/table14.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 Id="rId3" Type="http://schemas.openxmlformats.org/officeDocument/2006/relationships/table" Target="../tables/table1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 Id="rId3" Type="http://schemas.openxmlformats.org/officeDocument/2006/relationships/table" Target="../tables/table16.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 Id="rId3" Type="http://schemas.openxmlformats.org/officeDocument/2006/relationships/table" Target="../tables/table17.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 Id="rId3" Type="http://schemas.openxmlformats.org/officeDocument/2006/relationships/table" Target="../tables/table18.xml"/></Relationships>
</file>

<file path=xl/worksheets/_rels/sheet52.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 Id="rId3" Type="http://schemas.openxmlformats.org/officeDocument/2006/relationships/table" Target="../tables/table19.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 Id="rId3"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32.75"/>
    <col customWidth="1" min="2" max="2" width="14.75"/>
    <col customWidth="1" min="5" max="5" width="14.0"/>
    <col customWidth="1" min="28" max="28" width="13.5"/>
  </cols>
  <sheetData>
    <row r="1" ht="30.0" customHeight="1">
      <c r="A1" s="1" t="s">
        <v>0</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row>
    <row r="3">
      <c r="A3" s="6" t="s">
        <v>6</v>
      </c>
      <c r="B3" s="13" t="s">
        <v>7</v>
      </c>
      <c r="C3" s="14"/>
      <c r="D3" s="15" t="s">
        <v>8</v>
      </c>
      <c r="E3" s="9"/>
      <c r="F3" s="10" t="s">
        <v>9</v>
      </c>
      <c r="G3" s="9"/>
      <c r="H3" s="15" t="s">
        <v>10</v>
      </c>
      <c r="I3" s="9"/>
      <c r="J3" s="10" t="s">
        <v>11</v>
      </c>
      <c r="K3" s="8"/>
      <c r="L3" s="9"/>
      <c r="M3" s="16" t="s">
        <v>12</v>
      </c>
      <c r="N3" s="9"/>
      <c r="O3" s="10" t="s">
        <v>13</v>
      </c>
      <c r="P3" s="9"/>
      <c r="Q3" s="15" t="s">
        <v>14</v>
      </c>
      <c r="R3" s="9"/>
      <c r="S3" s="10" t="s">
        <v>15</v>
      </c>
      <c r="T3" s="9"/>
      <c r="U3" s="17" t="s">
        <v>16</v>
      </c>
      <c r="V3" s="9"/>
      <c r="W3" s="10" t="s">
        <v>17</v>
      </c>
      <c r="X3" s="8"/>
      <c r="Y3" s="9"/>
      <c r="Z3" s="16" t="s">
        <v>18</v>
      </c>
      <c r="AA3" s="9"/>
      <c r="AB3" s="12"/>
      <c r="AC3" s="12"/>
      <c r="AD3" s="12"/>
      <c r="AE3" s="12"/>
      <c r="AF3" s="12"/>
      <c r="AG3" s="12"/>
      <c r="AH3" s="12"/>
      <c r="AI3" s="12"/>
      <c r="AJ3" s="12"/>
      <c r="AK3" s="12"/>
      <c r="AL3" s="12"/>
      <c r="AM3" s="12"/>
    </row>
    <row r="4">
      <c r="A4" s="6" t="s">
        <v>19</v>
      </c>
      <c r="B4" s="18"/>
      <c r="C4" s="18"/>
      <c r="D4" s="18"/>
      <c r="E4" s="18"/>
      <c r="F4" s="18"/>
      <c r="G4" s="18"/>
      <c r="H4" s="19"/>
      <c r="I4" s="19"/>
      <c r="J4" s="19"/>
      <c r="K4" s="19"/>
      <c r="L4" s="19"/>
      <c r="M4" s="19"/>
      <c r="N4" s="19"/>
      <c r="O4" s="19"/>
      <c r="P4" s="19"/>
      <c r="Q4" s="19"/>
      <c r="R4" s="19"/>
      <c r="S4" s="19"/>
      <c r="T4" s="19"/>
      <c r="U4" s="20"/>
      <c r="V4" s="19"/>
      <c r="W4" s="19"/>
      <c r="X4" s="19"/>
      <c r="Y4" s="19"/>
      <c r="Z4" s="19"/>
      <c r="AA4" s="21"/>
      <c r="AB4" s="12"/>
      <c r="AC4" s="12"/>
      <c r="AD4" s="12"/>
      <c r="AE4" s="12"/>
      <c r="AF4" s="12"/>
      <c r="AG4" s="12"/>
      <c r="AH4" s="12"/>
      <c r="AI4" s="12"/>
      <c r="AJ4" s="12"/>
      <c r="AK4" s="12"/>
      <c r="AL4" s="12"/>
      <c r="AM4" s="12"/>
    </row>
    <row r="5">
      <c r="A5" s="22" t="s">
        <v>20</v>
      </c>
      <c r="B5" s="23"/>
      <c r="C5" s="23"/>
      <c r="D5" s="23"/>
      <c r="E5" s="23"/>
      <c r="F5" s="23"/>
      <c r="G5" s="23"/>
      <c r="H5" s="23"/>
      <c r="I5" s="23"/>
      <c r="J5" s="23"/>
      <c r="K5" s="23"/>
      <c r="L5" s="23"/>
      <c r="M5" s="24"/>
      <c r="N5" s="24"/>
      <c r="O5" s="25"/>
      <c r="P5" s="25"/>
      <c r="Q5" s="25"/>
      <c r="R5" s="25"/>
      <c r="S5" s="25"/>
      <c r="T5" s="25"/>
      <c r="U5" s="26"/>
      <c r="V5" s="25"/>
      <c r="W5" s="24"/>
      <c r="X5" s="24"/>
      <c r="Y5" s="24"/>
      <c r="Z5" s="25"/>
      <c r="AA5" s="25"/>
      <c r="AB5" s="27"/>
      <c r="AC5" s="28"/>
      <c r="AD5" s="28"/>
      <c r="AE5" s="28"/>
      <c r="AF5" s="28"/>
      <c r="AG5" s="28"/>
      <c r="AH5" s="28"/>
      <c r="AI5" s="28"/>
      <c r="AJ5" s="28"/>
      <c r="AK5" s="28"/>
      <c r="AL5" s="28"/>
      <c r="AM5" s="28"/>
    </row>
    <row r="6">
      <c r="A6" s="29"/>
      <c r="B6" s="30"/>
      <c r="U6" s="31"/>
    </row>
    <row r="7">
      <c r="A7" s="32" t="s">
        <v>21</v>
      </c>
      <c r="B7" s="33"/>
      <c r="C7" s="34"/>
      <c r="D7" s="34"/>
      <c r="E7" s="34"/>
      <c r="F7" s="34"/>
      <c r="G7" s="34"/>
      <c r="H7" s="34"/>
      <c r="I7" s="34"/>
      <c r="J7" s="34"/>
      <c r="K7" s="34"/>
      <c r="L7" s="34"/>
      <c r="M7" s="34"/>
      <c r="N7" s="34"/>
      <c r="O7" s="34"/>
      <c r="P7" s="34"/>
      <c r="Q7" s="34"/>
      <c r="R7" s="34"/>
      <c r="S7" s="34"/>
      <c r="T7" s="35"/>
      <c r="U7" s="36"/>
      <c r="V7" s="34"/>
      <c r="W7" s="34"/>
      <c r="X7" s="34"/>
      <c r="Y7" s="34"/>
      <c r="Z7" s="34"/>
      <c r="AA7" s="34"/>
    </row>
    <row r="8">
      <c r="A8" s="37" t="s">
        <v>22</v>
      </c>
      <c r="B8" s="38"/>
      <c r="C8" s="39"/>
      <c r="D8" s="39"/>
      <c r="E8" s="39"/>
      <c r="F8" s="39"/>
      <c r="G8" s="39"/>
      <c r="H8" s="39"/>
      <c r="I8" s="39"/>
      <c r="J8" s="39"/>
      <c r="K8" s="39"/>
      <c r="L8" s="39"/>
      <c r="M8" s="39"/>
      <c r="N8" s="39"/>
      <c r="O8" s="39"/>
      <c r="P8" s="39"/>
      <c r="Q8" s="39"/>
      <c r="R8" s="39"/>
      <c r="S8" s="39"/>
      <c r="T8" s="40"/>
      <c r="U8" s="41"/>
      <c r="V8" s="39"/>
      <c r="W8" s="39"/>
      <c r="X8" s="39"/>
      <c r="Y8" s="39"/>
      <c r="Z8" s="39"/>
      <c r="AA8" s="39"/>
    </row>
    <row r="9">
      <c r="A9" s="37" t="s">
        <v>23</v>
      </c>
      <c r="B9" s="38"/>
      <c r="C9" s="39"/>
      <c r="D9" s="39"/>
      <c r="E9" s="39"/>
      <c r="F9" s="39"/>
      <c r="G9" s="39"/>
      <c r="H9" s="39"/>
      <c r="I9" s="39"/>
      <c r="J9" s="39"/>
      <c r="K9" s="39"/>
      <c r="L9" s="39"/>
      <c r="M9" s="39"/>
      <c r="N9" s="39"/>
      <c r="O9" s="39"/>
      <c r="P9" s="39"/>
      <c r="Q9" s="39"/>
      <c r="R9" s="39"/>
      <c r="S9" s="39"/>
      <c r="T9" s="40"/>
      <c r="U9" s="41"/>
      <c r="V9" s="41"/>
      <c r="W9" s="41"/>
      <c r="X9" s="41"/>
      <c r="Y9" s="41"/>
      <c r="Z9" s="41"/>
      <c r="AA9" s="41"/>
    </row>
    <row r="10">
      <c r="A10" s="42" t="s">
        <v>24</v>
      </c>
      <c r="B10" s="43">
        <f>IFERROR(B9/B7, 0)</f>
        <v>0</v>
      </c>
      <c r="C10" s="43"/>
      <c r="D10" s="43"/>
      <c r="E10" s="43"/>
      <c r="F10" s="43"/>
      <c r="G10" s="43"/>
      <c r="H10" s="43"/>
      <c r="I10" s="43"/>
      <c r="J10" s="43"/>
      <c r="K10" s="43"/>
      <c r="L10" s="43"/>
      <c r="M10" s="43"/>
      <c r="N10" s="43"/>
      <c r="O10" s="43"/>
      <c r="P10" s="43"/>
      <c r="Q10" s="43"/>
      <c r="R10" s="43"/>
      <c r="S10" s="43"/>
      <c r="T10" s="44"/>
      <c r="U10" s="45"/>
      <c r="V10" s="45"/>
      <c r="W10" s="45"/>
      <c r="X10" s="45"/>
      <c r="Y10" s="45"/>
      <c r="Z10" s="45"/>
      <c r="AA10" s="45"/>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row>
    <row r="12">
      <c r="A12" s="48" t="s">
        <v>25</v>
      </c>
      <c r="B12" s="49"/>
      <c r="C12" s="50"/>
      <c r="D12" s="50"/>
      <c r="E12" s="50"/>
      <c r="F12" s="50"/>
      <c r="G12" s="50"/>
      <c r="H12" s="50"/>
      <c r="I12" s="50"/>
      <c r="J12" s="50"/>
      <c r="K12" s="50"/>
      <c r="L12" s="50"/>
      <c r="M12" s="50"/>
      <c r="N12" s="50"/>
      <c r="O12" s="50"/>
      <c r="P12" s="50"/>
      <c r="Q12" s="50"/>
      <c r="R12" s="50"/>
      <c r="S12" s="50"/>
      <c r="T12" s="51"/>
      <c r="U12" s="52"/>
      <c r="V12" s="50"/>
      <c r="W12" s="50"/>
      <c r="X12" s="50"/>
      <c r="Y12" s="50"/>
      <c r="Z12" s="50"/>
      <c r="AA12" s="50"/>
    </row>
    <row r="13">
      <c r="A13" s="53" t="s">
        <v>26</v>
      </c>
      <c r="B13" s="54"/>
      <c r="C13" s="55"/>
      <c r="D13" s="55"/>
      <c r="E13" s="55"/>
      <c r="F13" s="55"/>
      <c r="G13" s="55"/>
      <c r="H13" s="55"/>
      <c r="I13" s="55"/>
      <c r="J13" s="55"/>
      <c r="K13" s="55"/>
      <c r="L13" s="55"/>
      <c r="M13" s="55"/>
      <c r="N13" s="55"/>
      <c r="O13" s="55"/>
      <c r="P13" s="55"/>
      <c r="Q13" s="55"/>
      <c r="R13" s="55"/>
      <c r="S13" s="55"/>
      <c r="T13" s="56"/>
      <c r="U13" s="57"/>
      <c r="V13" s="55"/>
      <c r="W13" s="55"/>
      <c r="X13" s="55"/>
      <c r="Y13" s="55"/>
      <c r="Z13" s="55"/>
      <c r="AA13" s="55"/>
    </row>
    <row r="14">
      <c r="A14" s="58" t="s">
        <v>27</v>
      </c>
      <c r="B14" s="59"/>
      <c r="C14" s="60"/>
      <c r="D14" s="60"/>
      <c r="E14" s="60"/>
      <c r="F14" s="60"/>
      <c r="G14" s="60"/>
      <c r="H14" s="60"/>
      <c r="I14" s="60"/>
      <c r="J14" s="60"/>
      <c r="K14" s="60"/>
      <c r="L14" s="60"/>
      <c r="M14" s="60"/>
      <c r="N14" s="60"/>
      <c r="O14" s="60"/>
      <c r="P14" s="60"/>
      <c r="Q14" s="60"/>
      <c r="R14" s="60"/>
      <c r="S14" s="60"/>
      <c r="T14" s="61"/>
      <c r="U14" s="62"/>
      <c r="V14" s="60"/>
      <c r="W14" s="60"/>
      <c r="X14" s="60"/>
      <c r="Y14" s="60"/>
      <c r="Z14" s="60"/>
      <c r="AA14" s="60"/>
    </row>
    <row r="15">
      <c r="A15" s="56"/>
      <c r="B15" s="63"/>
      <c r="C15" s="56"/>
      <c r="D15" s="56"/>
      <c r="E15" s="56"/>
      <c r="F15" s="56"/>
      <c r="G15" s="56"/>
      <c r="H15" s="56"/>
      <c r="I15" s="56"/>
      <c r="J15" s="56"/>
      <c r="K15" s="56"/>
      <c r="L15" s="56"/>
      <c r="M15" s="56"/>
      <c r="N15" s="56"/>
      <c r="O15" s="56"/>
      <c r="P15" s="56"/>
      <c r="Q15" s="56"/>
      <c r="R15" s="56"/>
      <c r="S15" s="56"/>
      <c r="T15" s="56"/>
      <c r="U15" s="64"/>
      <c r="V15" s="56"/>
      <c r="W15" s="56"/>
      <c r="X15" s="56"/>
      <c r="Y15" s="56"/>
      <c r="Z15" s="56"/>
      <c r="AA15" s="56"/>
    </row>
    <row r="16">
      <c r="A16" s="65" t="s">
        <v>28</v>
      </c>
      <c r="B16" s="66"/>
      <c r="C16" s="65"/>
      <c r="D16" s="65"/>
      <c r="E16" s="65"/>
      <c r="F16" s="65"/>
      <c r="G16" s="65"/>
      <c r="H16" s="65"/>
      <c r="I16" s="65"/>
      <c r="J16" s="65"/>
      <c r="K16" s="65"/>
      <c r="L16" s="65"/>
      <c r="M16" s="65"/>
      <c r="N16" s="65"/>
      <c r="O16" s="65"/>
      <c r="P16" s="65"/>
      <c r="Q16" s="65"/>
      <c r="R16" s="65"/>
      <c r="S16" s="65"/>
      <c r="T16" s="67"/>
      <c r="U16" s="68"/>
      <c r="V16" s="65"/>
      <c r="W16" s="65"/>
      <c r="X16" s="65"/>
      <c r="Y16" s="65"/>
      <c r="Z16" s="65"/>
      <c r="AA16" s="65"/>
    </row>
    <row r="17">
      <c r="A17" s="65" t="s">
        <v>29</v>
      </c>
      <c r="B17" s="66"/>
      <c r="C17" s="65"/>
      <c r="D17" s="65"/>
      <c r="E17" s="65"/>
      <c r="F17" s="65"/>
      <c r="G17" s="65"/>
      <c r="H17" s="65"/>
      <c r="I17" s="65"/>
      <c r="J17" s="65"/>
      <c r="K17" s="65"/>
      <c r="L17" s="65"/>
      <c r="M17" s="65"/>
      <c r="N17" s="65"/>
      <c r="O17" s="65"/>
      <c r="P17" s="65"/>
      <c r="Q17" s="65"/>
      <c r="R17" s="65"/>
      <c r="S17" s="65"/>
      <c r="T17" s="67"/>
      <c r="U17" s="68"/>
      <c r="V17" s="65"/>
      <c r="W17" s="65"/>
      <c r="X17" s="65"/>
      <c r="Y17" s="65"/>
      <c r="Z17" s="65"/>
      <c r="AA17" s="65"/>
    </row>
    <row r="18">
      <c r="A18" s="69" t="s">
        <v>30</v>
      </c>
      <c r="B18" s="70"/>
      <c r="C18" s="69"/>
      <c r="D18" s="69"/>
      <c r="E18" s="69"/>
      <c r="F18" s="69"/>
      <c r="G18" s="69"/>
      <c r="H18" s="69"/>
      <c r="I18" s="69"/>
      <c r="J18" s="69"/>
      <c r="K18" s="69"/>
      <c r="L18" s="69"/>
      <c r="M18" s="69"/>
      <c r="N18" s="69"/>
      <c r="O18" s="69"/>
      <c r="P18" s="69"/>
      <c r="Q18" s="69"/>
      <c r="R18" s="69"/>
      <c r="S18" s="69"/>
      <c r="T18" s="69"/>
      <c r="U18" s="71"/>
      <c r="V18" s="69"/>
      <c r="W18" s="69"/>
      <c r="X18" s="69"/>
      <c r="Y18" s="69"/>
      <c r="Z18" s="69"/>
      <c r="AA18" s="72"/>
      <c r="AB18" s="73"/>
      <c r="AC18" s="73"/>
      <c r="AD18" s="73"/>
      <c r="AE18" s="73"/>
      <c r="AF18" s="73"/>
      <c r="AG18" s="73"/>
      <c r="AH18" s="73"/>
      <c r="AI18" s="73"/>
      <c r="AJ18" s="73"/>
      <c r="AK18" s="73"/>
      <c r="AL18" s="73"/>
      <c r="AM18" s="73"/>
    </row>
    <row r="19">
      <c r="A19" s="74" t="s">
        <v>31</v>
      </c>
      <c r="B19" s="75"/>
      <c r="C19" s="74"/>
      <c r="D19" s="74"/>
      <c r="E19" s="74"/>
      <c r="F19" s="74"/>
      <c r="G19" s="74"/>
      <c r="H19" s="74"/>
      <c r="I19" s="74"/>
      <c r="J19" s="74"/>
      <c r="K19" s="74"/>
      <c r="L19" s="74"/>
      <c r="M19" s="74"/>
      <c r="N19" s="74"/>
      <c r="O19" s="74"/>
      <c r="P19" s="74"/>
      <c r="Q19" s="69"/>
      <c r="R19" s="74"/>
      <c r="S19" s="74"/>
      <c r="T19" s="74"/>
      <c r="U19" s="76"/>
      <c r="V19" s="74"/>
      <c r="W19" s="74"/>
      <c r="X19" s="74"/>
      <c r="Y19" s="74"/>
      <c r="Z19" s="74"/>
      <c r="AA19" s="77"/>
      <c r="AB19" s="78"/>
      <c r="AC19" s="78"/>
      <c r="AD19" s="78"/>
      <c r="AE19" s="78"/>
      <c r="AF19" s="78"/>
      <c r="AG19" s="78"/>
      <c r="AH19" s="78"/>
      <c r="AI19" s="78"/>
      <c r="AJ19" s="78"/>
      <c r="AK19" s="78"/>
      <c r="AL19" s="78"/>
      <c r="AM19" s="78"/>
    </row>
    <row r="20">
      <c r="A20" s="69" t="s">
        <v>32</v>
      </c>
      <c r="B20" s="70"/>
      <c r="C20" s="69"/>
      <c r="D20" s="69"/>
      <c r="E20" s="69"/>
      <c r="F20" s="69"/>
      <c r="G20" s="69"/>
      <c r="H20" s="69"/>
      <c r="I20" s="69"/>
      <c r="J20" s="69"/>
      <c r="K20" s="69"/>
      <c r="L20" s="69"/>
      <c r="M20" s="69"/>
      <c r="N20" s="69"/>
      <c r="O20" s="69"/>
      <c r="P20" s="69"/>
      <c r="Q20" s="69"/>
      <c r="R20" s="69"/>
      <c r="S20" s="69"/>
      <c r="T20" s="69"/>
      <c r="U20" s="71"/>
      <c r="V20" s="69"/>
      <c r="W20" s="69"/>
      <c r="X20" s="69"/>
      <c r="Y20" s="69"/>
      <c r="Z20" s="69"/>
      <c r="AA20" s="72"/>
      <c r="AB20" s="73"/>
      <c r="AC20" s="73"/>
      <c r="AD20" s="73"/>
      <c r="AE20" s="73"/>
      <c r="AF20" s="73"/>
      <c r="AG20" s="73"/>
      <c r="AH20" s="73"/>
      <c r="AI20" s="73"/>
      <c r="AJ20" s="73"/>
      <c r="AK20" s="73"/>
      <c r="AL20" s="73"/>
      <c r="AM20" s="73"/>
    </row>
    <row r="21">
      <c r="A21" s="79" t="s">
        <v>33</v>
      </c>
      <c r="B21" s="80"/>
      <c r="C21" s="80"/>
      <c r="D21" s="80"/>
      <c r="E21" s="80"/>
      <c r="F21" s="79"/>
      <c r="G21" s="79"/>
      <c r="H21" s="79"/>
      <c r="I21" s="79"/>
      <c r="J21" s="79"/>
      <c r="K21" s="79"/>
      <c r="L21" s="79"/>
      <c r="M21" s="79"/>
      <c r="N21" s="79"/>
      <c r="O21" s="79"/>
      <c r="P21" s="79"/>
      <c r="Q21" s="69"/>
      <c r="R21" s="79"/>
      <c r="S21" s="79"/>
      <c r="T21" s="81"/>
      <c r="U21" s="79"/>
      <c r="V21" s="79"/>
      <c r="W21" s="79"/>
      <c r="X21" s="79"/>
      <c r="Y21" s="79"/>
      <c r="Z21" s="79"/>
      <c r="AA21" s="79"/>
    </row>
    <row r="22">
      <c r="A22" s="82" t="s">
        <v>34</v>
      </c>
      <c r="B22" s="83"/>
      <c r="C22" s="83"/>
      <c r="D22" s="84"/>
      <c r="E22" s="84"/>
      <c r="F22" s="84"/>
      <c r="G22" s="84"/>
      <c r="H22" s="84"/>
      <c r="I22" s="84"/>
      <c r="J22" s="84"/>
      <c r="K22" s="84"/>
      <c r="L22" s="84"/>
      <c r="M22" s="84"/>
      <c r="N22" s="84"/>
      <c r="O22" s="84"/>
      <c r="P22" s="84"/>
      <c r="Q22" s="69"/>
      <c r="R22" s="85"/>
      <c r="S22" s="85"/>
      <c r="T22" s="85"/>
      <c r="U22" s="86"/>
      <c r="V22" s="85"/>
      <c r="W22" s="85"/>
      <c r="X22" s="85"/>
      <c r="Y22" s="85"/>
      <c r="Z22" s="85"/>
      <c r="AA22" s="87"/>
      <c r="AB22" s="87"/>
      <c r="AC22" s="88"/>
      <c r="AD22" s="88"/>
      <c r="AE22" s="88"/>
      <c r="AF22" s="88"/>
      <c r="AG22" s="88"/>
      <c r="AH22" s="88"/>
      <c r="AI22" s="88"/>
      <c r="AJ22" s="88"/>
      <c r="AK22" s="88"/>
      <c r="AL22" s="88"/>
      <c r="AM22" s="89"/>
    </row>
    <row r="23">
      <c r="A23" s="90" t="s">
        <v>35</v>
      </c>
      <c r="B23" s="91"/>
      <c r="C23" s="92"/>
      <c r="D23" s="91"/>
      <c r="E23" s="92"/>
      <c r="F23" s="91"/>
      <c r="G23" s="91"/>
      <c r="H23" s="91"/>
      <c r="I23" s="91"/>
      <c r="J23" s="91"/>
      <c r="K23" s="91"/>
      <c r="L23" s="91"/>
      <c r="M23" s="91"/>
      <c r="N23" s="91"/>
      <c r="O23" s="91"/>
      <c r="P23" s="91"/>
      <c r="Q23" s="91"/>
      <c r="R23" s="91"/>
      <c r="S23" s="91"/>
      <c r="T23" s="91"/>
      <c r="U23" s="93"/>
      <c r="V23" s="91"/>
      <c r="W23" s="91"/>
      <c r="X23" s="91"/>
      <c r="Y23" s="91"/>
      <c r="Z23" s="91"/>
      <c r="AA23" s="91"/>
      <c r="AB23" s="94"/>
      <c r="AC23" s="95"/>
      <c r="AD23" s="95"/>
      <c r="AE23" s="95"/>
      <c r="AF23" s="95"/>
      <c r="AG23" s="95"/>
      <c r="AH23" s="95"/>
      <c r="AI23" s="95"/>
      <c r="AJ23" s="95"/>
      <c r="AK23" s="95"/>
      <c r="AL23" s="95"/>
      <c r="AM23" s="95"/>
    </row>
    <row r="24">
      <c r="A24" s="96" t="s">
        <v>36</v>
      </c>
      <c r="B24" s="97">
        <v>0.0</v>
      </c>
      <c r="C24" s="98">
        <v>0.0</v>
      </c>
      <c r="D24" s="98">
        <v>0.0</v>
      </c>
      <c r="E24" s="98">
        <v>0.0</v>
      </c>
      <c r="F24" s="98">
        <v>0.0</v>
      </c>
      <c r="G24" s="98">
        <v>0.0</v>
      </c>
      <c r="H24" s="98">
        <v>0.0</v>
      </c>
      <c r="I24" s="98">
        <v>0.0</v>
      </c>
      <c r="J24" s="98">
        <v>0.0</v>
      </c>
      <c r="K24" s="98">
        <v>0.0</v>
      </c>
      <c r="L24" s="98">
        <v>0.0</v>
      </c>
      <c r="M24" s="98">
        <v>0.0</v>
      </c>
      <c r="N24" s="98">
        <v>0.0</v>
      </c>
      <c r="O24" s="98">
        <v>0.0</v>
      </c>
      <c r="P24" s="98">
        <v>0.0</v>
      </c>
      <c r="Q24" s="98">
        <v>0.0</v>
      </c>
      <c r="R24" s="98">
        <v>0.0</v>
      </c>
      <c r="S24" s="98">
        <v>0.0</v>
      </c>
      <c r="T24" s="98">
        <v>0.0</v>
      </c>
      <c r="U24" s="98">
        <v>0.0</v>
      </c>
      <c r="V24" s="98">
        <v>0.0</v>
      </c>
      <c r="W24" s="98">
        <v>0.0</v>
      </c>
      <c r="X24" s="98">
        <v>0.0</v>
      </c>
      <c r="Y24" s="98">
        <v>0.0</v>
      </c>
      <c r="Z24" s="98">
        <v>0.0</v>
      </c>
      <c r="AA24" s="98">
        <v>0.0</v>
      </c>
      <c r="AB24" s="99"/>
      <c r="AC24" s="100"/>
      <c r="AD24" s="100"/>
      <c r="AE24" s="100"/>
      <c r="AF24" s="100"/>
      <c r="AG24" s="100"/>
      <c r="AH24" s="100"/>
      <c r="AI24" s="100"/>
      <c r="AJ24" s="100"/>
      <c r="AK24" s="100"/>
      <c r="AL24" s="100"/>
      <c r="AM24" s="100"/>
    </row>
    <row r="25">
      <c r="A25" s="101" t="s">
        <v>37</v>
      </c>
      <c r="B25" s="102">
        <f>IFERROR(B18/B7, 0)</f>
        <v>0</v>
      </c>
      <c r="C25" s="103"/>
      <c r="D25" s="103"/>
      <c r="E25" s="103"/>
      <c r="F25" s="103"/>
      <c r="G25" s="103"/>
      <c r="H25" s="103"/>
      <c r="I25" s="103"/>
      <c r="J25" s="103"/>
      <c r="K25" s="103"/>
      <c r="L25" s="103"/>
      <c r="M25" s="103"/>
      <c r="N25" s="103"/>
      <c r="O25" s="103"/>
      <c r="P25" s="103"/>
      <c r="Q25" s="103"/>
      <c r="R25" s="103"/>
      <c r="S25" s="103"/>
      <c r="T25" s="103"/>
      <c r="U25" s="104"/>
      <c r="V25" s="103"/>
      <c r="W25" s="103"/>
      <c r="X25" s="103"/>
      <c r="Y25" s="103"/>
      <c r="Z25" s="103"/>
      <c r="AA25" s="103"/>
    </row>
    <row r="26">
      <c r="A26" s="105" t="s">
        <v>38</v>
      </c>
      <c r="B26" s="106">
        <f>IFERROR(B12/B18, 0)</f>
        <v>0</v>
      </c>
      <c r="C26" s="107"/>
      <c r="D26" s="107"/>
      <c r="E26" s="107"/>
      <c r="F26" s="107"/>
      <c r="G26" s="107"/>
      <c r="H26" s="107"/>
      <c r="I26" s="107"/>
      <c r="J26" s="107"/>
      <c r="K26" s="107"/>
      <c r="L26" s="107"/>
      <c r="M26" s="107"/>
      <c r="N26" s="107"/>
      <c r="O26" s="107"/>
      <c r="P26" s="107"/>
      <c r="Q26" s="107"/>
      <c r="R26" s="107"/>
      <c r="S26" s="107"/>
      <c r="T26" s="107"/>
      <c r="U26" s="108"/>
      <c r="V26" s="107"/>
      <c r="W26" s="107"/>
      <c r="X26" s="107"/>
      <c r="Y26" s="107"/>
      <c r="Z26" s="107"/>
      <c r="AA26" s="107"/>
    </row>
    <row r="27">
      <c r="A27" s="109" t="s">
        <v>39</v>
      </c>
      <c r="B27" s="110">
        <f>IFERROR(B20/B18, 0)</f>
        <v>0</v>
      </c>
      <c r="C27" s="110"/>
      <c r="D27" s="110"/>
      <c r="E27" s="110"/>
      <c r="F27" s="110"/>
      <c r="G27" s="110"/>
      <c r="H27" s="110"/>
      <c r="I27" s="110"/>
      <c r="J27" s="110"/>
      <c r="K27" s="110"/>
      <c r="L27" s="110"/>
      <c r="M27" s="110"/>
      <c r="N27" s="110"/>
      <c r="O27" s="110"/>
      <c r="P27" s="110"/>
      <c r="Q27" s="110"/>
      <c r="R27" s="110"/>
      <c r="S27" s="110"/>
      <c r="T27" s="110"/>
      <c r="U27" s="111"/>
      <c r="V27" s="110"/>
      <c r="W27" s="110"/>
      <c r="X27" s="110"/>
      <c r="Y27" s="110"/>
      <c r="Z27" s="110"/>
      <c r="AA27" s="110"/>
      <c r="AB27" s="112"/>
      <c r="AC27" s="113"/>
      <c r="AD27" s="113"/>
      <c r="AE27" s="113"/>
      <c r="AF27" s="113"/>
      <c r="AG27" s="113"/>
      <c r="AH27" s="113"/>
      <c r="AI27" s="113"/>
      <c r="AJ27" s="113"/>
      <c r="AK27" s="113"/>
      <c r="AL27" s="113"/>
      <c r="AM27" s="113"/>
    </row>
    <row r="28">
      <c r="A28" s="114" t="s">
        <v>40</v>
      </c>
      <c r="B28" s="115"/>
      <c r="C28" s="115"/>
      <c r="D28" s="115"/>
      <c r="E28" s="115"/>
      <c r="F28" s="115"/>
      <c r="G28" s="115"/>
      <c r="H28" s="115"/>
      <c r="I28" s="115"/>
      <c r="J28" s="115"/>
      <c r="K28" s="115"/>
      <c r="L28" s="115"/>
      <c r="M28" s="115"/>
      <c r="N28" s="115"/>
      <c r="O28" s="115"/>
      <c r="P28" s="115"/>
      <c r="Q28" s="115"/>
      <c r="R28" s="115"/>
      <c r="S28" s="115"/>
      <c r="T28" s="115"/>
      <c r="U28" s="116"/>
      <c r="V28" s="115"/>
      <c r="W28" s="115"/>
      <c r="X28" s="115"/>
      <c r="Y28" s="115"/>
      <c r="Z28" s="115"/>
      <c r="AA28" s="115"/>
      <c r="AB28" s="112"/>
      <c r="AC28" s="113"/>
      <c r="AD28" s="113"/>
      <c r="AE28" s="113"/>
      <c r="AF28" s="113"/>
      <c r="AG28" s="113"/>
      <c r="AH28" s="113"/>
      <c r="AI28" s="113"/>
      <c r="AJ28" s="113"/>
      <c r="AK28" s="113"/>
      <c r="AL28" s="113"/>
      <c r="AM28" s="113"/>
    </row>
    <row r="29">
      <c r="A29" s="117" t="s">
        <v>41</v>
      </c>
      <c r="B29" s="118"/>
      <c r="C29" s="119"/>
      <c r="D29" s="119"/>
      <c r="E29" s="119"/>
      <c r="F29" s="119"/>
      <c r="G29" s="119"/>
      <c r="H29" s="119"/>
      <c r="I29" s="119"/>
      <c r="J29" s="119"/>
      <c r="K29" s="119"/>
      <c r="L29" s="119"/>
      <c r="M29" s="119"/>
      <c r="N29" s="119"/>
      <c r="O29" s="119"/>
      <c r="P29" s="119"/>
      <c r="Q29" s="119"/>
      <c r="R29" s="119"/>
      <c r="S29" s="119"/>
      <c r="T29" s="119"/>
      <c r="U29" s="120"/>
      <c r="V29" s="119"/>
      <c r="W29" s="119"/>
      <c r="X29" s="119"/>
      <c r="Y29" s="119"/>
      <c r="Z29" s="119"/>
      <c r="AA29" s="119"/>
      <c r="AB29" s="121"/>
      <c r="AC29" s="121"/>
      <c r="AD29" s="121"/>
      <c r="AE29" s="121"/>
      <c r="AF29" s="121"/>
      <c r="AG29" s="99"/>
      <c r="AH29" s="99"/>
      <c r="AI29" s="99"/>
      <c r="AJ29" s="99"/>
      <c r="AK29" s="99"/>
      <c r="AL29" s="99"/>
      <c r="AM29" s="99"/>
    </row>
    <row r="30">
      <c r="A30" s="96" t="s">
        <v>42</v>
      </c>
      <c r="B30" s="97">
        <v>0.0</v>
      </c>
      <c r="C30" s="98">
        <v>0.0</v>
      </c>
      <c r="D30" s="98">
        <v>0.0</v>
      </c>
      <c r="E30" s="98">
        <v>0.0</v>
      </c>
      <c r="F30" s="98">
        <v>0.0</v>
      </c>
      <c r="G30" s="98">
        <v>0.0</v>
      </c>
      <c r="H30" s="98">
        <v>0.0</v>
      </c>
      <c r="I30" s="98">
        <v>0.0</v>
      </c>
      <c r="J30" s="98">
        <v>0.0</v>
      </c>
      <c r="K30" s="98">
        <v>0.0</v>
      </c>
      <c r="L30" s="98">
        <v>0.0</v>
      </c>
      <c r="M30" s="98">
        <v>0.0</v>
      </c>
      <c r="N30" s="98">
        <v>0.0</v>
      </c>
      <c r="O30" s="98">
        <v>0.0</v>
      </c>
      <c r="P30" s="98">
        <v>0.0</v>
      </c>
      <c r="Q30" s="98">
        <v>0.0</v>
      </c>
      <c r="R30" s="98">
        <v>0.0</v>
      </c>
      <c r="S30" s="98">
        <v>0.0</v>
      </c>
      <c r="T30" s="98">
        <v>0.0</v>
      </c>
      <c r="U30" s="98">
        <v>0.0</v>
      </c>
      <c r="V30" s="98">
        <v>0.0</v>
      </c>
      <c r="W30" s="98">
        <v>0.0</v>
      </c>
      <c r="X30" s="98">
        <v>0.0</v>
      </c>
      <c r="Y30" s="98">
        <v>0.0</v>
      </c>
      <c r="Z30" s="98">
        <v>0.0</v>
      </c>
      <c r="AA30" s="98">
        <v>0.0</v>
      </c>
      <c r="AB30" s="122"/>
      <c r="AC30" s="121"/>
      <c r="AD30" s="121"/>
      <c r="AE30" s="121"/>
      <c r="AF30" s="121"/>
      <c r="AG30" s="99"/>
      <c r="AH30" s="99"/>
      <c r="AI30" s="99"/>
      <c r="AJ30" s="99"/>
      <c r="AK30" s="99"/>
      <c r="AL30" s="99"/>
      <c r="AM30" s="99"/>
    </row>
    <row r="31">
      <c r="A31" s="123" t="s">
        <v>43</v>
      </c>
      <c r="B31" s="97">
        <v>0.0</v>
      </c>
      <c r="C31" s="97">
        <v>0.0</v>
      </c>
      <c r="D31" s="97">
        <v>0.0</v>
      </c>
      <c r="E31" s="97">
        <v>0.0</v>
      </c>
      <c r="F31" s="97">
        <v>0.0</v>
      </c>
      <c r="G31" s="97">
        <v>0.0</v>
      </c>
      <c r="H31" s="97">
        <v>0.0</v>
      </c>
      <c r="I31" s="97">
        <v>0.0</v>
      </c>
      <c r="J31" s="97">
        <v>0.0</v>
      </c>
      <c r="K31" s="97">
        <v>0.0</v>
      </c>
      <c r="L31" s="97">
        <v>0.0</v>
      </c>
      <c r="M31" s="97">
        <v>0.0</v>
      </c>
      <c r="N31" s="97">
        <v>0.0</v>
      </c>
      <c r="O31" s="97">
        <v>0.0</v>
      </c>
      <c r="P31" s="97">
        <v>0.0</v>
      </c>
      <c r="Q31" s="97">
        <v>0.0</v>
      </c>
      <c r="R31" s="97">
        <v>0.0</v>
      </c>
      <c r="S31" s="97">
        <v>0.0</v>
      </c>
      <c r="T31" s="97">
        <v>0.0</v>
      </c>
      <c r="U31" s="97">
        <v>0.0</v>
      </c>
      <c r="V31" s="97">
        <v>0.0</v>
      </c>
      <c r="W31" s="97">
        <v>0.0</v>
      </c>
      <c r="X31" s="97">
        <v>0.0</v>
      </c>
      <c r="Y31" s="97">
        <v>0.0</v>
      </c>
      <c r="Z31" s="97">
        <v>0.0</v>
      </c>
      <c r="AA31" s="97">
        <v>0.0</v>
      </c>
      <c r="AB31" s="124"/>
      <c r="AC31" s="121"/>
      <c r="AD31" s="121"/>
      <c r="AE31" s="121"/>
      <c r="AF31" s="121"/>
      <c r="AG31" s="99"/>
      <c r="AH31" s="99"/>
      <c r="AI31" s="99"/>
      <c r="AJ31" s="99"/>
      <c r="AK31" s="99"/>
      <c r="AL31" s="99"/>
      <c r="AM31" s="99"/>
    </row>
    <row r="32">
      <c r="A32" s="96" t="s">
        <v>44</v>
      </c>
      <c r="B32" s="125">
        <f t="shared" ref="B32:AA32" si="1">(B24*0.7) + (IF(B30 &gt;= 30%, 1, 0)*0.15) + (B31*0.15)</f>
        <v>0</v>
      </c>
      <c r="C32" s="125">
        <f t="shared" si="1"/>
        <v>0</v>
      </c>
      <c r="D32" s="125">
        <f t="shared" si="1"/>
        <v>0</v>
      </c>
      <c r="E32" s="125">
        <f t="shared" si="1"/>
        <v>0</v>
      </c>
      <c r="F32" s="125">
        <f t="shared" si="1"/>
        <v>0</v>
      </c>
      <c r="G32" s="125">
        <f t="shared" si="1"/>
        <v>0</v>
      </c>
      <c r="H32" s="125">
        <f t="shared" si="1"/>
        <v>0</v>
      </c>
      <c r="I32" s="125">
        <f t="shared" si="1"/>
        <v>0</v>
      </c>
      <c r="J32" s="125">
        <f t="shared" si="1"/>
        <v>0</v>
      </c>
      <c r="K32" s="125">
        <f t="shared" si="1"/>
        <v>0</v>
      </c>
      <c r="L32" s="125">
        <f t="shared" si="1"/>
        <v>0</v>
      </c>
      <c r="M32" s="125">
        <f t="shared" si="1"/>
        <v>0</v>
      </c>
      <c r="N32" s="125">
        <f t="shared" si="1"/>
        <v>0</v>
      </c>
      <c r="O32" s="125">
        <f t="shared" si="1"/>
        <v>0</v>
      </c>
      <c r="P32" s="125">
        <f t="shared" si="1"/>
        <v>0</v>
      </c>
      <c r="Q32" s="125">
        <f t="shared" si="1"/>
        <v>0</v>
      </c>
      <c r="R32" s="125">
        <f t="shared" si="1"/>
        <v>0</v>
      </c>
      <c r="S32" s="125">
        <f t="shared" si="1"/>
        <v>0</v>
      </c>
      <c r="T32" s="125">
        <f t="shared" si="1"/>
        <v>0</v>
      </c>
      <c r="U32" s="125">
        <f t="shared" si="1"/>
        <v>0</v>
      </c>
      <c r="V32" s="125">
        <f t="shared" si="1"/>
        <v>0</v>
      </c>
      <c r="W32" s="125">
        <f t="shared" si="1"/>
        <v>0</v>
      </c>
      <c r="X32" s="125">
        <f t="shared" si="1"/>
        <v>0</v>
      </c>
      <c r="Y32" s="125">
        <f t="shared" si="1"/>
        <v>0</v>
      </c>
      <c r="Z32" s="125">
        <f t="shared" si="1"/>
        <v>0</v>
      </c>
      <c r="AA32" s="125">
        <f t="shared" si="1"/>
        <v>0</v>
      </c>
    </row>
    <row r="33">
      <c r="A33" s="126" t="s">
        <v>45</v>
      </c>
      <c r="B33" s="127"/>
      <c r="C33" s="128"/>
      <c r="D33" s="128"/>
      <c r="E33" s="128"/>
      <c r="F33" s="128"/>
      <c r="G33" s="128"/>
      <c r="H33" s="128"/>
      <c r="I33" s="128"/>
      <c r="J33" s="128"/>
      <c r="K33" s="128"/>
      <c r="L33" s="128"/>
      <c r="M33" s="128"/>
      <c r="N33" s="128"/>
      <c r="O33" s="128"/>
      <c r="P33" s="128"/>
      <c r="Q33" s="128"/>
      <c r="R33" s="128"/>
      <c r="S33" s="128"/>
      <c r="T33" s="128"/>
      <c r="U33" s="129"/>
      <c r="V33" s="128"/>
      <c r="W33" s="128"/>
      <c r="X33" s="128"/>
      <c r="Y33" s="128"/>
      <c r="Z33" s="128"/>
      <c r="AA33" s="128"/>
      <c r="AB33" s="128"/>
      <c r="AC33" s="128"/>
      <c r="AD33" s="130"/>
      <c r="AE33" s="130"/>
      <c r="AF33" s="130"/>
      <c r="AG33" s="130"/>
      <c r="AH33" s="130"/>
      <c r="AI33" s="130"/>
      <c r="AJ33" s="130"/>
      <c r="AK33" s="130"/>
      <c r="AL33" s="130"/>
      <c r="AM33" s="130"/>
    </row>
    <row r="34">
      <c r="A34" s="131"/>
      <c r="B34" s="132"/>
      <c r="C34" s="130"/>
      <c r="D34" s="130"/>
      <c r="E34" s="130"/>
      <c r="F34" s="130"/>
      <c r="G34" s="130"/>
      <c r="H34" s="130"/>
      <c r="I34" s="130"/>
      <c r="J34" s="130"/>
      <c r="K34" s="130"/>
      <c r="L34" s="130"/>
      <c r="M34" s="130"/>
      <c r="N34" s="130"/>
      <c r="O34" s="130"/>
      <c r="P34" s="130"/>
      <c r="Q34" s="133"/>
      <c r="R34" s="133"/>
      <c r="S34" s="133"/>
      <c r="T34" s="133"/>
      <c r="U34" s="134"/>
      <c r="V34" s="133"/>
      <c r="W34" s="133"/>
      <c r="X34" s="133"/>
      <c r="Y34" s="133"/>
      <c r="Z34" s="133"/>
      <c r="AA34" s="133"/>
      <c r="AB34" s="133"/>
      <c r="AC34" s="130"/>
      <c r="AD34" s="130"/>
      <c r="AE34" s="130"/>
      <c r="AF34" s="130"/>
      <c r="AG34" s="130"/>
      <c r="AH34" s="130"/>
      <c r="AI34" s="130"/>
      <c r="AJ34" s="130"/>
      <c r="AK34" s="130"/>
      <c r="AL34" s="130"/>
      <c r="AM34" s="130"/>
    </row>
    <row r="35" ht="24.75" customHeight="1">
      <c r="A35" s="131"/>
      <c r="B35" s="132"/>
      <c r="C35" s="133"/>
      <c r="D35" s="130"/>
      <c r="E35" s="130"/>
      <c r="F35" s="130"/>
      <c r="G35" s="130"/>
      <c r="H35" s="130"/>
      <c r="I35" s="130"/>
      <c r="J35" s="130"/>
      <c r="K35" s="130"/>
      <c r="L35" s="130"/>
      <c r="M35" s="130"/>
      <c r="N35" s="130"/>
      <c r="O35" s="130"/>
      <c r="P35" s="130"/>
      <c r="Q35" s="130"/>
      <c r="R35" s="130"/>
      <c r="S35" s="130"/>
      <c r="T35" s="130"/>
      <c r="U35" s="135"/>
      <c r="V35" s="130"/>
      <c r="W35" s="130"/>
      <c r="X35" s="130"/>
      <c r="Y35" s="130"/>
      <c r="Z35" s="130"/>
      <c r="AA35" s="130"/>
      <c r="AB35" s="130"/>
      <c r="AC35" s="130"/>
      <c r="AD35" s="130"/>
      <c r="AE35" s="130"/>
      <c r="AF35" s="130"/>
      <c r="AG35" s="130"/>
      <c r="AH35" s="130"/>
      <c r="AI35" s="130"/>
      <c r="AJ35" s="130"/>
      <c r="AK35" s="130"/>
      <c r="AL35" s="130"/>
      <c r="AM35" s="130"/>
    </row>
    <row r="36">
      <c r="A36" s="131"/>
      <c r="B36" s="132"/>
      <c r="C36" s="133"/>
      <c r="D36" s="130"/>
      <c r="E36" s="130"/>
      <c r="F36" s="130"/>
      <c r="G36" s="130"/>
      <c r="H36" s="130"/>
      <c r="I36" s="130"/>
      <c r="J36" s="130"/>
      <c r="K36" s="130"/>
      <c r="L36" s="130"/>
      <c r="M36" s="130"/>
      <c r="N36" s="130"/>
      <c r="O36" s="130"/>
      <c r="P36" s="130"/>
      <c r="Q36" s="133"/>
      <c r="R36" s="133"/>
      <c r="S36" s="133"/>
      <c r="T36" s="133"/>
      <c r="U36" s="134"/>
      <c r="V36" s="133"/>
      <c r="W36" s="133"/>
      <c r="X36" s="133"/>
      <c r="Y36" s="133"/>
      <c r="Z36" s="133"/>
      <c r="AA36" s="133"/>
      <c r="AB36" s="133"/>
      <c r="AC36" s="130"/>
      <c r="AD36" s="130"/>
      <c r="AE36" s="130"/>
      <c r="AF36" s="130"/>
      <c r="AG36" s="130"/>
      <c r="AH36" s="130"/>
      <c r="AI36" s="130"/>
      <c r="AJ36" s="130"/>
      <c r="AK36" s="130"/>
      <c r="AL36" s="130"/>
      <c r="AM36" s="130"/>
    </row>
    <row r="37">
      <c r="A37" s="131"/>
      <c r="B37" s="132"/>
      <c r="C37" s="133"/>
      <c r="D37" s="130"/>
      <c r="E37" s="130"/>
      <c r="F37" s="130"/>
      <c r="G37" s="130"/>
      <c r="H37" s="130"/>
      <c r="I37" s="130"/>
      <c r="J37" s="130"/>
      <c r="K37" s="130"/>
      <c r="L37" s="130"/>
      <c r="M37" s="130"/>
      <c r="N37" s="130"/>
      <c r="O37" s="130"/>
      <c r="P37" s="130"/>
      <c r="Q37" s="133"/>
      <c r="R37" s="133"/>
      <c r="S37" s="133"/>
      <c r="T37" s="133"/>
      <c r="U37" s="134"/>
      <c r="V37" s="133"/>
      <c r="W37" s="133"/>
      <c r="X37" s="133"/>
      <c r="Y37" s="133"/>
      <c r="Z37" s="133"/>
      <c r="AA37" s="133"/>
      <c r="AB37" s="133"/>
      <c r="AC37" s="130"/>
      <c r="AD37" s="130"/>
      <c r="AE37" s="130"/>
      <c r="AF37" s="130"/>
      <c r="AG37" s="130"/>
      <c r="AH37" s="130"/>
      <c r="AI37" s="130"/>
      <c r="AJ37" s="130"/>
      <c r="AK37" s="130"/>
      <c r="AL37" s="130"/>
      <c r="AM37" s="130"/>
    </row>
    <row r="38">
      <c r="A38" s="131"/>
      <c r="B38" s="132"/>
      <c r="C38" s="133"/>
      <c r="D38" s="130"/>
      <c r="E38" s="130"/>
      <c r="F38" s="130"/>
      <c r="G38" s="130"/>
      <c r="H38" s="130"/>
      <c r="I38" s="130"/>
      <c r="J38" s="130"/>
      <c r="K38" s="130"/>
      <c r="L38" s="130"/>
      <c r="M38" s="130"/>
      <c r="N38" s="130"/>
      <c r="O38" s="130"/>
      <c r="P38" s="130"/>
      <c r="Q38" s="133"/>
      <c r="R38" s="133"/>
      <c r="S38" s="133"/>
      <c r="T38" s="133"/>
      <c r="U38" s="134"/>
      <c r="V38" s="133"/>
      <c r="W38" s="133"/>
      <c r="X38" s="133"/>
      <c r="Y38" s="133"/>
      <c r="Z38" s="133"/>
      <c r="AA38" s="133"/>
      <c r="AB38" s="133"/>
      <c r="AC38" s="130"/>
      <c r="AD38" s="130"/>
      <c r="AE38" s="130"/>
      <c r="AF38" s="130"/>
      <c r="AG38" s="130"/>
      <c r="AH38" s="130"/>
      <c r="AI38" s="130"/>
      <c r="AJ38" s="130"/>
      <c r="AK38" s="130"/>
      <c r="AL38" s="130"/>
      <c r="AM38" s="130"/>
    </row>
    <row r="39">
      <c r="A39" s="131"/>
      <c r="B39" s="132"/>
      <c r="C39" s="133"/>
      <c r="D39" s="130"/>
      <c r="E39" s="130"/>
      <c r="F39" s="130"/>
      <c r="G39" s="130"/>
      <c r="H39" s="130"/>
      <c r="I39" s="130"/>
      <c r="J39" s="130"/>
      <c r="K39" s="130"/>
      <c r="L39" s="130"/>
      <c r="M39" s="130"/>
      <c r="N39" s="130"/>
      <c r="O39" s="130"/>
      <c r="P39" s="130"/>
      <c r="Q39" s="133"/>
      <c r="R39" s="133"/>
      <c r="S39" s="133"/>
      <c r="T39" s="133"/>
      <c r="U39" s="134"/>
      <c r="V39" s="133"/>
      <c r="W39" s="133"/>
      <c r="X39" s="133"/>
      <c r="Y39" s="133"/>
      <c r="Z39" s="133"/>
      <c r="AA39" s="133"/>
      <c r="AB39" s="133"/>
      <c r="AC39" s="130"/>
      <c r="AD39" s="130"/>
      <c r="AE39" s="130"/>
      <c r="AF39" s="130"/>
      <c r="AG39" s="130"/>
      <c r="AH39" s="130"/>
      <c r="AI39" s="130"/>
      <c r="AJ39" s="130"/>
      <c r="AK39" s="130"/>
      <c r="AL39" s="130"/>
      <c r="AM39" s="130"/>
    </row>
    <row r="40">
      <c r="A40" s="131"/>
      <c r="B40" s="132"/>
      <c r="C40" s="133"/>
      <c r="D40" s="130"/>
      <c r="E40" s="130"/>
      <c r="F40" s="130"/>
      <c r="G40" s="130"/>
      <c r="H40" s="130"/>
      <c r="I40" s="130"/>
      <c r="J40" s="130"/>
      <c r="K40" s="130"/>
      <c r="L40" s="130"/>
      <c r="M40" s="130"/>
      <c r="N40" s="130"/>
      <c r="O40" s="130"/>
      <c r="P40" s="130"/>
      <c r="Q40" s="133"/>
      <c r="R40" s="133"/>
      <c r="S40" s="133"/>
      <c r="T40" s="133"/>
      <c r="U40" s="133"/>
      <c r="V40" s="133"/>
      <c r="W40" s="133"/>
      <c r="X40" s="133"/>
      <c r="Y40" s="133"/>
      <c r="Z40" s="133"/>
      <c r="AA40" s="133"/>
      <c r="AB40" s="133"/>
      <c r="AC40" s="130"/>
      <c r="AD40" s="130"/>
      <c r="AE40" s="130"/>
      <c r="AF40" s="130"/>
      <c r="AG40" s="130"/>
      <c r="AH40" s="130"/>
      <c r="AI40" s="130"/>
      <c r="AJ40" s="130"/>
      <c r="AK40" s="130"/>
      <c r="AL40" s="130"/>
      <c r="AM40" s="130"/>
    </row>
    <row r="41">
      <c r="A41" s="131"/>
      <c r="B41" s="136"/>
      <c r="C41" s="130"/>
      <c r="D41" s="130"/>
      <c r="E41" s="130"/>
      <c r="F41" s="130"/>
      <c r="G41" s="130"/>
      <c r="H41" s="130"/>
      <c r="I41" s="130"/>
      <c r="J41" s="130"/>
      <c r="K41" s="130"/>
      <c r="L41" s="130"/>
      <c r="M41" s="130"/>
      <c r="N41" s="130"/>
      <c r="O41" s="130"/>
      <c r="P41" s="130"/>
      <c r="Q41" s="133"/>
      <c r="R41" s="133"/>
      <c r="S41" s="133"/>
      <c r="T41" s="133"/>
      <c r="U41" s="134"/>
      <c r="V41" s="133"/>
      <c r="W41" s="133"/>
      <c r="X41" s="133"/>
      <c r="Y41" s="133"/>
      <c r="Z41" s="133"/>
      <c r="AA41" s="133"/>
      <c r="AB41" s="133"/>
      <c r="AC41" s="130"/>
      <c r="AD41" s="130"/>
      <c r="AE41" s="130"/>
      <c r="AF41" s="130"/>
      <c r="AG41" s="130"/>
      <c r="AH41" s="130"/>
      <c r="AI41" s="130"/>
      <c r="AJ41" s="130"/>
      <c r="AK41" s="130"/>
      <c r="AL41" s="130"/>
      <c r="AM41" s="130"/>
    </row>
    <row r="42">
      <c r="A42" s="131"/>
      <c r="B42" s="136"/>
      <c r="C42" s="130"/>
      <c r="D42" s="130"/>
      <c r="E42" s="130"/>
      <c r="F42" s="130"/>
      <c r="G42" s="130"/>
      <c r="H42" s="130"/>
      <c r="I42" s="130"/>
      <c r="J42" s="130"/>
      <c r="K42" s="130"/>
      <c r="L42" s="130"/>
      <c r="M42" s="130"/>
      <c r="N42" s="130"/>
      <c r="O42" s="130"/>
      <c r="P42" s="130"/>
      <c r="Q42" s="133"/>
      <c r="R42" s="133"/>
      <c r="S42" s="133"/>
      <c r="T42" s="133"/>
      <c r="U42" s="134"/>
      <c r="V42" s="133"/>
      <c r="W42" s="133"/>
      <c r="X42" s="133"/>
      <c r="Y42" s="133"/>
      <c r="Z42" s="133"/>
      <c r="AA42" s="133"/>
      <c r="AB42" s="133"/>
      <c r="AC42" s="130"/>
      <c r="AD42" s="130"/>
      <c r="AE42" s="130"/>
      <c r="AF42" s="130"/>
      <c r="AG42" s="130"/>
      <c r="AH42" s="130"/>
      <c r="AI42" s="130"/>
      <c r="AJ42" s="130"/>
      <c r="AK42" s="130"/>
      <c r="AL42" s="130"/>
      <c r="AM42" s="130"/>
    </row>
    <row r="43">
      <c r="A43" s="131"/>
      <c r="B43" s="132"/>
      <c r="C43" s="130"/>
      <c r="D43" s="130"/>
      <c r="E43" s="130"/>
      <c r="F43" s="130"/>
      <c r="G43" s="130"/>
      <c r="H43" s="130"/>
      <c r="I43" s="130"/>
      <c r="J43" s="130"/>
      <c r="K43" s="130"/>
      <c r="L43" s="130"/>
      <c r="M43" s="130"/>
      <c r="N43" s="130"/>
      <c r="O43" s="130"/>
      <c r="P43" s="130"/>
      <c r="Q43" s="133"/>
      <c r="R43" s="133"/>
      <c r="S43" s="133"/>
      <c r="T43" s="133"/>
      <c r="U43" s="134"/>
      <c r="V43" s="133"/>
      <c r="W43" s="133"/>
      <c r="X43" s="133"/>
      <c r="Y43" s="133"/>
      <c r="Z43" s="133"/>
      <c r="AA43" s="133"/>
      <c r="AB43" s="133"/>
      <c r="AC43" s="130"/>
      <c r="AD43" s="130"/>
      <c r="AE43" s="130"/>
      <c r="AF43" s="130"/>
      <c r="AG43" s="130"/>
      <c r="AH43" s="130"/>
      <c r="AI43" s="130"/>
      <c r="AJ43" s="130"/>
      <c r="AK43" s="130"/>
      <c r="AL43" s="130"/>
      <c r="AM43" s="130"/>
    </row>
    <row r="44">
      <c r="A44" s="126" t="s">
        <v>46</v>
      </c>
      <c r="B44" s="127"/>
      <c r="C44" s="128"/>
      <c r="D44" s="128"/>
      <c r="E44" s="128"/>
      <c r="F44" s="128"/>
      <c r="G44" s="128"/>
      <c r="H44" s="128"/>
      <c r="I44" s="128"/>
      <c r="J44" s="128"/>
      <c r="K44" s="128"/>
      <c r="L44" s="128"/>
      <c r="M44" s="128"/>
      <c r="N44" s="128"/>
      <c r="O44" s="128"/>
      <c r="P44" s="128"/>
      <c r="Q44" s="128"/>
      <c r="R44" s="128"/>
      <c r="S44" s="128"/>
      <c r="T44" s="128"/>
      <c r="U44" s="129"/>
      <c r="V44" s="128"/>
      <c r="W44" s="128"/>
      <c r="X44" s="128"/>
      <c r="Y44" s="128"/>
      <c r="Z44" s="128"/>
      <c r="AA44" s="128"/>
      <c r="AB44" s="128"/>
      <c r="AC44" s="128"/>
      <c r="AD44" s="130"/>
      <c r="AE44" s="130"/>
      <c r="AF44" s="130"/>
      <c r="AG44" s="130"/>
      <c r="AH44" s="130"/>
      <c r="AI44" s="130"/>
      <c r="AJ44" s="130"/>
      <c r="AK44" s="130"/>
      <c r="AL44" s="130"/>
      <c r="AM44" s="130"/>
    </row>
    <row r="45">
      <c r="A45" s="131"/>
      <c r="B45" s="132"/>
      <c r="C45" s="133"/>
      <c r="D45" s="133"/>
      <c r="E45" s="133"/>
      <c r="F45" s="133"/>
      <c r="G45" s="133"/>
      <c r="H45" s="133"/>
      <c r="I45" s="133"/>
      <c r="J45" s="133"/>
      <c r="K45" s="133"/>
      <c r="L45" s="133"/>
      <c r="M45" s="133"/>
      <c r="N45" s="133"/>
      <c r="O45" s="133"/>
      <c r="P45" s="133"/>
      <c r="Q45" s="133"/>
      <c r="R45" s="133"/>
      <c r="S45" s="133"/>
      <c r="T45" s="133"/>
      <c r="U45" s="134"/>
      <c r="V45" s="133"/>
      <c r="W45" s="133"/>
      <c r="X45" s="133"/>
      <c r="Y45" s="133"/>
      <c r="Z45" s="133"/>
      <c r="AA45" s="133"/>
      <c r="AB45" s="130"/>
      <c r="AC45" s="130"/>
      <c r="AD45" s="130"/>
      <c r="AE45" s="130"/>
      <c r="AF45" s="130"/>
      <c r="AG45" s="130"/>
      <c r="AH45" s="130"/>
      <c r="AI45" s="130"/>
      <c r="AJ45" s="130"/>
      <c r="AK45" s="130"/>
      <c r="AL45" s="130"/>
      <c r="AM45" s="130"/>
    </row>
    <row r="46">
      <c r="A46" s="131"/>
      <c r="B46" s="132"/>
      <c r="C46" s="133"/>
      <c r="D46" s="133"/>
      <c r="E46" s="130"/>
      <c r="F46" s="133"/>
      <c r="G46" s="133"/>
      <c r="H46" s="133"/>
      <c r="I46" s="130"/>
      <c r="J46" s="130"/>
      <c r="K46" s="130"/>
      <c r="L46" s="130"/>
      <c r="M46" s="130"/>
      <c r="N46" s="130"/>
      <c r="O46" s="130"/>
      <c r="P46" s="130"/>
      <c r="Q46" s="130"/>
      <c r="R46" s="130"/>
      <c r="S46" s="130"/>
      <c r="T46" s="130"/>
      <c r="U46" s="135"/>
      <c r="V46" s="130"/>
      <c r="W46" s="130"/>
      <c r="X46" s="130"/>
      <c r="Y46" s="130"/>
      <c r="Z46" s="130"/>
      <c r="AA46" s="130"/>
      <c r="AB46" s="130"/>
      <c r="AC46" s="130"/>
      <c r="AD46" s="130"/>
      <c r="AE46" s="130"/>
      <c r="AF46" s="130"/>
      <c r="AG46" s="130"/>
      <c r="AH46" s="130"/>
      <c r="AI46" s="130"/>
      <c r="AJ46" s="130"/>
      <c r="AK46" s="130"/>
      <c r="AL46" s="130"/>
      <c r="AM46" s="130"/>
    </row>
    <row r="47">
      <c r="A47" s="131"/>
      <c r="B47" s="137"/>
      <c r="C47" s="133"/>
      <c r="D47" s="133"/>
      <c r="E47" s="130"/>
      <c r="F47" s="133"/>
      <c r="G47" s="133"/>
      <c r="H47" s="133"/>
      <c r="I47" s="133"/>
      <c r="J47" s="133"/>
      <c r="K47" s="133"/>
      <c r="L47" s="133"/>
      <c r="M47" s="133"/>
      <c r="N47" s="133"/>
      <c r="O47" s="133"/>
      <c r="P47" s="130"/>
      <c r="Q47" s="130"/>
      <c r="R47" s="130"/>
      <c r="S47" s="130"/>
      <c r="T47" s="130"/>
      <c r="U47" s="135"/>
      <c r="V47" s="130"/>
      <c r="W47" s="130"/>
      <c r="X47" s="130"/>
      <c r="Y47" s="130"/>
      <c r="Z47" s="130"/>
      <c r="AA47" s="130"/>
      <c r="AB47" s="130"/>
      <c r="AC47" s="130"/>
      <c r="AD47" s="130"/>
      <c r="AE47" s="130"/>
      <c r="AF47" s="130"/>
      <c r="AG47" s="130"/>
      <c r="AH47" s="130"/>
      <c r="AI47" s="130"/>
      <c r="AJ47" s="130"/>
      <c r="AK47" s="130"/>
      <c r="AL47" s="130"/>
      <c r="AM47" s="130"/>
    </row>
    <row r="48">
      <c r="A48" s="131"/>
      <c r="B48" s="137"/>
      <c r="C48" s="133"/>
      <c r="D48" s="133"/>
      <c r="E48" s="133"/>
      <c r="F48" s="133"/>
      <c r="G48" s="133"/>
      <c r="H48" s="133"/>
      <c r="I48" s="133"/>
      <c r="J48" s="133"/>
      <c r="K48" s="133"/>
      <c r="L48" s="133"/>
      <c r="M48" s="133"/>
      <c r="N48" s="133"/>
      <c r="O48" s="133"/>
      <c r="P48" s="133"/>
      <c r="Q48" s="133"/>
      <c r="R48" s="133"/>
      <c r="S48" s="133"/>
      <c r="T48" s="133"/>
      <c r="U48" s="134"/>
      <c r="V48" s="133"/>
      <c r="W48" s="133"/>
      <c r="X48" s="133"/>
      <c r="Y48" s="133"/>
      <c r="Z48" s="133"/>
      <c r="AA48" s="133"/>
      <c r="AB48" s="130"/>
      <c r="AC48" s="130"/>
      <c r="AD48" s="130"/>
      <c r="AE48" s="130"/>
      <c r="AF48" s="130"/>
      <c r="AG48" s="130"/>
      <c r="AH48" s="130"/>
      <c r="AI48" s="130"/>
      <c r="AJ48" s="130"/>
      <c r="AK48" s="130"/>
      <c r="AL48" s="130"/>
      <c r="AM48" s="130"/>
    </row>
    <row r="49">
      <c r="A49" s="131"/>
      <c r="B49" s="137"/>
      <c r="C49" s="133"/>
      <c r="D49" s="133"/>
      <c r="E49" s="130"/>
      <c r="F49" s="133"/>
      <c r="G49" s="133"/>
      <c r="H49" s="133"/>
      <c r="I49" s="133"/>
      <c r="J49" s="133"/>
      <c r="K49" s="133"/>
      <c r="L49" s="133"/>
      <c r="M49" s="133"/>
      <c r="N49" s="133"/>
      <c r="O49" s="133"/>
      <c r="P49" s="133"/>
      <c r="Q49" s="133"/>
      <c r="R49" s="133"/>
      <c r="S49" s="133"/>
      <c r="T49" s="133"/>
      <c r="U49" s="134"/>
      <c r="V49" s="133"/>
      <c r="W49" s="133"/>
      <c r="X49" s="133"/>
      <c r="Y49" s="133"/>
      <c r="Z49" s="133"/>
      <c r="AA49" s="133"/>
      <c r="AB49" s="130"/>
      <c r="AC49" s="130"/>
      <c r="AD49" s="130"/>
      <c r="AE49" s="130"/>
      <c r="AF49" s="130"/>
      <c r="AG49" s="130"/>
      <c r="AH49" s="130"/>
      <c r="AI49" s="130"/>
      <c r="AJ49" s="130"/>
      <c r="AK49" s="130"/>
      <c r="AL49" s="130"/>
      <c r="AM49" s="130"/>
    </row>
    <row r="50">
      <c r="A50" s="131"/>
      <c r="B50" s="137"/>
      <c r="C50" s="133"/>
      <c r="D50" s="133"/>
      <c r="E50" s="133"/>
      <c r="F50" s="133"/>
      <c r="G50" s="133"/>
      <c r="H50" s="133"/>
      <c r="I50" s="133"/>
      <c r="J50" s="133"/>
      <c r="K50" s="133"/>
      <c r="L50" s="133"/>
      <c r="M50" s="133"/>
      <c r="N50" s="133"/>
      <c r="O50" s="133"/>
      <c r="P50" s="133"/>
      <c r="Q50" s="133"/>
      <c r="R50" s="133"/>
      <c r="S50" s="133"/>
      <c r="T50" s="133"/>
      <c r="U50" s="134"/>
      <c r="V50" s="133"/>
      <c r="W50" s="133"/>
      <c r="X50" s="133"/>
      <c r="Y50" s="133"/>
      <c r="Z50" s="133"/>
      <c r="AA50" s="133"/>
      <c r="AB50" s="130"/>
      <c r="AC50" s="130"/>
      <c r="AD50" s="130"/>
      <c r="AE50" s="130"/>
      <c r="AF50" s="130"/>
      <c r="AG50" s="130"/>
      <c r="AH50" s="130"/>
      <c r="AI50" s="130"/>
      <c r="AJ50" s="130"/>
      <c r="AK50" s="130"/>
      <c r="AL50" s="130"/>
      <c r="AM50" s="130"/>
    </row>
    <row r="51">
      <c r="A51" s="131"/>
      <c r="B51" s="137"/>
      <c r="C51" s="133"/>
      <c r="D51" s="133"/>
      <c r="E51" s="133"/>
      <c r="F51" s="133"/>
      <c r="G51" s="133"/>
      <c r="H51" s="133"/>
      <c r="I51" s="133"/>
      <c r="J51" s="133"/>
      <c r="K51" s="133"/>
      <c r="L51" s="133"/>
      <c r="M51" s="133"/>
      <c r="N51" s="133"/>
      <c r="O51" s="133"/>
      <c r="P51" s="133"/>
      <c r="Q51" s="133"/>
      <c r="R51" s="133"/>
      <c r="S51" s="133"/>
      <c r="T51" s="133"/>
      <c r="U51" s="134"/>
      <c r="V51" s="133"/>
      <c r="W51" s="133"/>
      <c r="X51" s="133"/>
      <c r="Y51" s="133"/>
      <c r="Z51" s="133"/>
      <c r="AA51" s="133"/>
      <c r="AB51" s="130"/>
      <c r="AC51" s="130"/>
      <c r="AD51" s="130"/>
      <c r="AE51" s="130"/>
      <c r="AF51" s="130"/>
      <c r="AG51" s="130"/>
      <c r="AH51" s="130"/>
      <c r="AI51" s="130"/>
      <c r="AJ51" s="130"/>
      <c r="AK51" s="130"/>
      <c r="AL51" s="130"/>
      <c r="AM51" s="130"/>
    </row>
    <row r="52">
      <c r="A52" s="131"/>
      <c r="B52" s="137"/>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0"/>
      <c r="AC52" s="130"/>
      <c r="AD52" s="130"/>
      <c r="AE52" s="130"/>
      <c r="AF52" s="130"/>
      <c r="AG52" s="130"/>
      <c r="AH52" s="130"/>
      <c r="AI52" s="130"/>
      <c r="AJ52" s="130"/>
      <c r="AK52" s="130"/>
      <c r="AL52" s="130"/>
      <c r="AM52" s="130"/>
    </row>
    <row r="53">
      <c r="A53" s="131"/>
      <c r="B53" s="137"/>
      <c r="C53" s="133"/>
      <c r="D53" s="133"/>
      <c r="E53" s="133"/>
      <c r="F53" s="133"/>
      <c r="G53" s="133"/>
      <c r="H53" s="133"/>
      <c r="I53" s="133"/>
      <c r="J53" s="133"/>
      <c r="K53" s="133"/>
      <c r="L53" s="133"/>
      <c r="M53" s="133"/>
      <c r="N53" s="133"/>
      <c r="O53" s="133"/>
      <c r="P53" s="133"/>
      <c r="Q53" s="133"/>
      <c r="R53" s="133"/>
      <c r="S53" s="133"/>
      <c r="T53" s="133"/>
      <c r="U53" s="134"/>
      <c r="V53" s="133"/>
      <c r="W53" s="133"/>
      <c r="X53" s="133"/>
      <c r="Y53" s="133"/>
      <c r="Z53" s="133"/>
      <c r="AA53" s="133"/>
      <c r="AB53" s="130"/>
      <c r="AC53" s="130"/>
      <c r="AD53" s="130"/>
      <c r="AE53" s="130"/>
      <c r="AF53" s="130"/>
      <c r="AG53" s="130"/>
      <c r="AH53" s="130"/>
      <c r="AI53" s="130"/>
      <c r="AJ53" s="130"/>
      <c r="AK53" s="130"/>
      <c r="AL53" s="130"/>
      <c r="AM53" s="130"/>
    </row>
    <row r="54">
      <c r="A54" s="131"/>
      <c r="B54" s="137"/>
      <c r="C54" s="133"/>
      <c r="D54" s="133"/>
      <c r="E54" s="133"/>
      <c r="F54" s="133"/>
      <c r="G54" s="133"/>
      <c r="H54" s="133"/>
      <c r="I54" s="133"/>
      <c r="J54" s="133"/>
      <c r="K54" s="133"/>
      <c r="L54" s="133"/>
      <c r="M54" s="133"/>
      <c r="N54" s="133"/>
      <c r="O54" s="133"/>
      <c r="P54" s="133"/>
      <c r="Q54" s="133"/>
      <c r="R54" s="133"/>
      <c r="S54" s="133"/>
      <c r="T54" s="133"/>
      <c r="U54" s="134"/>
      <c r="V54" s="133"/>
      <c r="W54" s="133"/>
      <c r="X54" s="133"/>
      <c r="Y54" s="133"/>
      <c r="Z54" s="133"/>
      <c r="AA54" s="133"/>
      <c r="AB54" s="130"/>
      <c r="AC54" s="130"/>
      <c r="AD54" s="130"/>
      <c r="AE54" s="130"/>
      <c r="AF54" s="130"/>
      <c r="AG54" s="130"/>
      <c r="AH54" s="130"/>
      <c r="AI54" s="130"/>
      <c r="AJ54" s="130"/>
      <c r="AK54" s="130"/>
      <c r="AL54" s="130"/>
      <c r="AM54" s="130"/>
    </row>
    <row r="55">
      <c r="A55" s="131"/>
      <c r="B55" s="137"/>
      <c r="C55" s="133"/>
      <c r="D55" s="133"/>
      <c r="E55" s="133"/>
      <c r="F55" s="133"/>
      <c r="G55" s="133"/>
      <c r="H55" s="133"/>
      <c r="I55" s="133"/>
      <c r="J55" s="133"/>
      <c r="K55" s="133"/>
      <c r="L55" s="133"/>
      <c r="M55" s="133"/>
      <c r="N55" s="133"/>
      <c r="O55" s="133"/>
      <c r="P55" s="133"/>
      <c r="Q55" s="133"/>
      <c r="R55" s="133"/>
      <c r="S55" s="133"/>
      <c r="T55" s="133"/>
      <c r="U55" s="134"/>
      <c r="V55" s="133"/>
      <c r="W55" s="133"/>
      <c r="X55" s="133"/>
      <c r="Y55" s="133"/>
      <c r="Z55" s="133"/>
      <c r="AA55" s="133"/>
      <c r="AB55" s="130"/>
      <c r="AC55" s="130"/>
      <c r="AD55" s="130"/>
      <c r="AE55" s="130"/>
      <c r="AF55" s="130"/>
      <c r="AG55" s="130"/>
      <c r="AH55" s="130"/>
      <c r="AI55" s="130"/>
      <c r="AJ55" s="130"/>
      <c r="AK55" s="130"/>
      <c r="AL55" s="130"/>
      <c r="AM55" s="130"/>
    </row>
    <row r="56">
      <c r="B56" s="138"/>
      <c r="U56" s="31"/>
    </row>
    <row r="57">
      <c r="B57" s="138"/>
      <c r="U57" s="31"/>
    </row>
    <row r="58">
      <c r="B58" s="138"/>
      <c r="U58" s="31"/>
    </row>
    <row r="59">
      <c r="B59" s="138"/>
      <c r="U59" s="31"/>
    </row>
    <row r="60">
      <c r="B60" s="138"/>
      <c r="U60" s="31"/>
    </row>
    <row r="61">
      <c r="B61" s="138"/>
      <c r="U61" s="31"/>
    </row>
    <row r="62">
      <c r="B62" s="138"/>
      <c r="U62" s="31"/>
    </row>
    <row r="63">
      <c r="B63" s="138"/>
      <c r="U63" s="31"/>
    </row>
    <row r="64">
      <c r="B64" s="138"/>
      <c r="U64" s="31"/>
    </row>
    <row r="65">
      <c r="B65" s="138"/>
      <c r="U65" s="31"/>
    </row>
    <row r="66">
      <c r="B66" s="138"/>
      <c r="U66" s="31"/>
    </row>
    <row r="67">
      <c r="B67" s="138"/>
      <c r="U67" s="31"/>
    </row>
    <row r="68">
      <c r="B68" s="138"/>
      <c r="U68" s="31"/>
    </row>
    <row r="69">
      <c r="B69" s="138"/>
      <c r="U69" s="31"/>
    </row>
    <row r="70">
      <c r="B70" s="138"/>
      <c r="U70" s="31"/>
    </row>
    <row r="71">
      <c r="B71" s="138"/>
      <c r="U71" s="31"/>
    </row>
    <row r="72">
      <c r="B72" s="138"/>
      <c r="U72" s="31"/>
    </row>
    <row r="73">
      <c r="B73" s="138"/>
      <c r="U73" s="31"/>
    </row>
    <row r="74">
      <c r="B74" s="138"/>
      <c r="U74" s="31"/>
    </row>
    <row r="75">
      <c r="B75" s="138"/>
      <c r="U75" s="31"/>
    </row>
    <row r="76">
      <c r="B76" s="138"/>
      <c r="U76" s="31"/>
    </row>
    <row r="77">
      <c r="B77" s="138"/>
      <c r="U77" s="31"/>
    </row>
    <row r="78">
      <c r="B78" s="138"/>
      <c r="U78" s="31"/>
    </row>
    <row r="79">
      <c r="B79" s="138"/>
      <c r="U79" s="31"/>
    </row>
    <row r="80">
      <c r="B80" s="138"/>
      <c r="U80" s="31"/>
    </row>
    <row r="81">
      <c r="B81" s="138"/>
      <c r="U81" s="31"/>
    </row>
    <row r="82">
      <c r="B82" s="138"/>
      <c r="U82" s="31"/>
    </row>
    <row r="83">
      <c r="B83" s="138"/>
      <c r="U83" s="31"/>
    </row>
    <row r="84">
      <c r="B84" s="138"/>
      <c r="U84" s="31"/>
    </row>
    <row r="85">
      <c r="B85" s="138"/>
      <c r="U85" s="31"/>
    </row>
    <row r="86">
      <c r="B86" s="138"/>
      <c r="U86" s="31"/>
    </row>
    <row r="87">
      <c r="B87" s="138"/>
      <c r="U87" s="31"/>
    </row>
    <row r="88">
      <c r="B88" s="138"/>
      <c r="U88" s="31"/>
    </row>
    <row r="89">
      <c r="B89" s="138"/>
      <c r="U89" s="31"/>
    </row>
    <row r="90">
      <c r="B90" s="138"/>
      <c r="U90" s="31"/>
    </row>
    <row r="91">
      <c r="B91" s="138"/>
      <c r="U91" s="31"/>
    </row>
    <row r="92">
      <c r="B92" s="138"/>
      <c r="U92" s="31"/>
    </row>
    <row r="93">
      <c r="B93" s="138"/>
      <c r="U93" s="31"/>
    </row>
    <row r="94">
      <c r="B94" s="138"/>
      <c r="U94" s="31"/>
    </row>
    <row r="95">
      <c r="B95" s="138"/>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sheetData>
  <mergeCells count="16">
    <mergeCell ref="H3:I3"/>
    <mergeCell ref="J3:L3"/>
    <mergeCell ref="M3:N3"/>
    <mergeCell ref="O3:P3"/>
    <mergeCell ref="Q3:R3"/>
    <mergeCell ref="S3:T3"/>
    <mergeCell ref="U3:V3"/>
    <mergeCell ref="W3:Y3"/>
    <mergeCell ref="B2:G2"/>
    <mergeCell ref="H2:N2"/>
    <mergeCell ref="O2:T2"/>
    <mergeCell ref="U2:AA2"/>
    <mergeCell ref="B3:C3"/>
    <mergeCell ref="D3:E3"/>
    <mergeCell ref="F3:G3"/>
    <mergeCell ref="Z3:AA3"/>
  </mergeCells>
  <dataValidations>
    <dataValidation type="list" allowBlank="1" showErrorMessage="1" sqref="B24:AA24 B31:AA31">
      <formula1>"0%,100%"</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63"/>
    <col customWidth="1" min="2" max="2" width="35.63"/>
    <col customWidth="1" min="3" max="3" width="34.25"/>
    <col customWidth="1" min="4" max="4" width="45.75"/>
  </cols>
  <sheetData>
    <row r="1">
      <c r="A1" s="139" t="s">
        <v>47</v>
      </c>
      <c r="B1" s="139" t="s">
        <v>48</v>
      </c>
      <c r="C1" s="139" t="s">
        <v>49</v>
      </c>
      <c r="D1" s="139" t="s">
        <v>50</v>
      </c>
    </row>
    <row r="2">
      <c r="A2" s="140" t="s">
        <v>30</v>
      </c>
      <c r="B2" s="141" t="s">
        <v>51</v>
      </c>
      <c r="C2" s="141" t="s">
        <v>52</v>
      </c>
      <c r="D2" s="141" t="s">
        <v>53</v>
      </c>
    </row>
    <row r="3">
      <c r="A3" s="142" t="s">
        <v>31</v>
      </c>
      <c r="B3" s="143" t="s">
        <v>54</v>
      </c>
      <c r="C3" s="141" t="s">
        <v>52</v>
      </c>
      <c r="D3" s="143"/>
    </row>
    <row r="4">
      <c r="A4" s="144" t="s">
        <v>32</v>
      </c>
      <c r="B4" s="141" t="s">
        <v>51</v>
      </c>
      <c r="C4" s="143" t="s">
        <v>55</v>
      </c>
      <c r="D4" s="141" t="s">
        <v>56</v>
      </c>
    </row>
    <row r="5">
      <c r="A5" s="145" t="s">
        <v>33</v>
      </c>
      <c r="B5" s="143" t="s">
        <v>57</v>
      </c>
      <c r="C5" s="143" t="s">
        <v>58</v>
      </c>
      <c r="D5" s="143"/>
    </row>
    <row r="6">
      <c r="A6" s="146" t="s">
        <v>34</v>
      </c>
      <c r="B6" s="141" t="s">
        <v>51</v>
      </c>
      <c r="C6" s="143" t="s">
        <v>59</v>
      </c>
      <c r="D6" s="141" t="s">
        <v>60</v>
      </c>
    </row>
    <row r="7">
      <c r="A7" s="147"/>
      <c r="B7" s="147"/>
      <c r="C7" s="147"/>
      <c r="D7" s="147"/>
    </row>
    <row r="8">
      <c r="A8" s="143" t="s">
        <v>39</v>
      </c>
      <c r="B8" s="148" t="s">
        <v>61</v>
      </c>
      <c r="C8" s="143" t="s">
        <v>59</v>
      </c>
      <c r="D8" s="141" t="s">
        <v>62</v>
      </c>
    </row>
    <row r="9">
      <c r="A9" s="143" t="s">
        <v>37</v>
      </c>
      <c r="B9" s="149" t="s">
        <v>63</v>
      </c>
      <c r="C9" s="143" t="s">
        <v>59</v>
      </c>
      <c r="D9" s="141" t="s">
        <v>64</v>
      </c>
    </row>
    <row r="10">
      <c r="A10" s="143" t="s">
        <v>38</v>
      </c>
      <c r="B10" s="143" t="s">
        <v>65</v>
      </c>
      <c r="C10" s="143" t="s">
        <v>59</v>
      </c>
      <c r="D10" s="141" t="s">
        <v>66</v>
      </c>
    </row>
    <row r="11">
      <c r="A11" s="143" t="s">
        <v>67</v>
      </c>
      <c r="B11" s="150" t="s">
        <v>68</v>
      </c>
      <c r="C11" s="143" t="s">
        <v>59</v>
      </c>
      <c r="D11" s="151" t="s">
        <v>69</v>
      </c>
    </row>
    <row r="12">
      <c r="A12" s="147"/>
      <c r="B12" s="147"/>
      <c r="C12" s="147"/>
      <c r="D12" s="147"/>
    </row>
    <row r="13">
      <c r="A13" s="152" t="s">
        <v>43</v>
      </c>
      <c r="B13" s="153" t="s">
        <v>70</v>
      </c>
      <c r="C13" s="147"/>
      <c r="D13" s="147"/>
    </row>
    <row r="14">
      <c r="B14" s="153" t="s">
        <v>71</v>
      </c>
      <c r="C14" s="147"/>
      <c r="D14" s="147"/>
    </row>
    <row r="15">
      <c r="A15" s="143" t="s">
        <v>72</v>
      </c>
      <c r="B15" s="153" t="s">
        <v>73</v>
      </c>
      <c r="C15" s="147"/>
      <c r="D15" s="147"/>
    </row>
    <row r="16">
      <c r="B16" s="153" t="s">
        <v>74</v>
      </c>
      <c r="C16" s="147"/>
      <c r="D16" s="147"/>
    </row>
  </sheetData>
  <mergeCells count="2">
    <mergeCell ref="A13:A14"/>
    <mergeCell ref="A15:A1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34.5"/>
    <col customWidth="1" min="2" max="2" width="27.63"/>
    <col customWidth="1" min="3" max="3" width="25.38"/>
    <col customWidth="1" min="4" max="4" width="23.25"/>
    <col customWidth="1" min="5" max="5" width="23.88"/>
    <col customWidth="1" min="6" max="6" width="22.0"/>
    <col customWidth="1" min="7" max="7" width="21.25"/>
    <col customWidth="1" min="8" max="8" width="23.5"/>
    <col customWidth="1" min="9" max="9" width="21.75"/>
    <col customWidth="1" min="10" max="10" width="24.13"/>
    <col customWidth="1" min="11" max="11" width="23.25"/>
    <col customWidth="1" min="12" max="12" width="29.75"/>
    <col customWidth="1" min="13" max="13" width="23.13"/>
    <col customWidth="1" min="14" max="14" width="24.25"/>
    <col customWidth="1" min="15" max="15" width="22.63"/>
    <col customWidth="1" min="16" max="17" width="23.63"/>
    <col customWidth="1" min="18" max="18" width="23.38"/>
    <col customWidth="1" min="19" max="19" width="21.38"/>
    <col customWidth="1" min="20" max="20" width="30.5"/>
    <col customWidth="1" min="21" max="21" width="34.13"/>
    <col customWidth="1" min="22" max="22" width="28.0"/>
    <col customWidth="1" min="29" max="29" width="13.5"/>
  </cols>
  <sheetData>
    <row r="1" ht="30.0" customHeight="1">
      <c r="A1" s="154" t="s">
        <v>75</v>
      </c>
      <c r="B1" s="2"/>
      <c r="C1" s="3"/>
      <c r="D1" s="3"/>
      <c r="E1" s="3"/>
      <c r="F1" s="3"/>
      <c r="G1" s="3"/>
      <c r="H1" s="3"/>
      <c r="I1" s="3"/>
      <c r="J1" s="3"/>
      <c r="K1" s="3"/>
      <c r="L1" s="3"/>
      <c r="M1" s="3"/>
      <c r="N1" s="3"/>
      <c r="O1" s="3"/>
      <c r="P1" s="3"/>
      <c r="Q1" s="4"/>
      <c r="R1" s="4"/>
      <c r="S1" s="4"/>
      <c r="T1" s="5"/>
      <c r="U1" s="5"/>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8"/>
      <c r="N2" s="9"/>
      <c r="O2" s="10" t="s">
        <v>4</v>
      </c>
      <c r="P2" s="8"/>
      <c r="Q2" s="8"/>
      <c r="R2" s="8"/>
      <c r="S2" s="8"/>
      <c r="T2" s="8"/>
      <c r="U2" s="9"/>
      <c r="V2" s="11" t="s">
        <v>5</v>
      </c>
      <c r="W2" s="8"/>
      <c r="X2" s="8"/>
      <c r="Y2" s="8"/>
      <c r="Z2" s="8"/>
      <c r="AA2" s="8"/>
      <c r="AB2" s="9"/>
      <c r="AC2" s="12"/>
      <c r="AD2" s="12"/>
      <c r="AE2" s="12"/>
      <c r="AF2" s="12"/>
      <c r="AG2" s="12"/>
      <c r="AH2" s="12"/>
      <c r="AI2" s="12"/>
      <c r="AJ2" s="12"/>
      <c r="AK2" s="12"/>
      <c r="AL2" s="12"/>
      <c r="AM2" s="12"/>
      <c r="AN2" s="12"/>
    </row>
    <row r="3">
      <c r="A3" s="6" t="s">
        <v>6</v>
      </c>
      <c r="B3" s="13" t="s">
        <v>7</v>
      </c>
      <c r="C3" s="14"/>
      <c r="D3" s="15" t="s">
        <v>8</v>
      </c>
      <c r="E3" s="9"/>
      <c r="F3" s="10" t="s">
        <v>9</v>
      </c>
      <c r="G3" s="9"/>
      <c r="H3" s="15" t="s">
        <v>10</v>
      </c>
      <c r="I3" s="9"/>
      <c r="J3" s="10" t="s">
        <v>11</v>
      </c>
      <c r="K3" s="8"/>
      <c r="L3" s="9"/>
      <c r="M3" s="16" t="s">
        <v>12</v>
      </c>
      <c r="N3" s="9"/>
      <c r="O3" s="10" t="s">
        <v>13</v>
      </c>
      <c r="P3" s="9"/>
      <c r="Q3" s="15" t="s">
        <v>14</v>
      </c>
      <c r="R3" s="9"/>
      <c r="S3" s="10" t="s">
        <v>15</v>
      </c>
      <c r="T3" s="8"/>
      <c r="U3" s="9"/>
      <c r="V3" s="155" t="s">
        <v>16</v>
      </c>
      <c r="W3" s="156"/>
      <c r="X3" s="10" t="s">
        <v>17</v>
      </c>
      <c r="Y3" s="8"/>
      <c r="Z3" s="9"/>
      <c r="AA3" s="16" t="s">
        <v>18</v>
      </c>
      <c r="AB3" s="9"/>
      <c r="AC3" s="12"/>
      <c r="AD3" s="12"/>
      <c r="AE3" s="12"/>
      <c r="AF3" s="12"/>
      <c r="AG3" s="12"/>
      <c r="AH3" s="12"/>
      <c r="AI3" s="12"/>
      <c r="AJ3" s="12"/>
      <c r="AK3" s="12"/>
      <c r="AL3" s="12"/>
      <c r="AM3" s="12"/>
      <c r="AN3" s="12"/>
    </row>
    <row r="4">
      <c r="A4" s="6" t="s">
        <v>19</v>
      </c>
      <c r="B4" s="157" t="s">
        <v>76</v>
      </c>
      <c r="C4" s="158" t="s">
        <v>77</v>
      </c>
      <c r="D4" s="158" t="s">
        <v>78</v>
      </c>
      <c r="E4" s="158" t="s">
        <v>79</v>
      </c>
      <c r="F4" s="158" t="s">
        <v>80</v>
      </c>
      <c r="G4" s="158" t="s">
        <v>81</v>
      </c>
      <c r="H4" s="158" t="s">
        <v>82</v>
      </c>
      <c r="I4" s="158" t="s">
        <v>83</v>
      </c>
      <c r="J4" s="158" t="s">
        <v>84</v>
      </c>
      <c r="K4" s="158" t="s">
        <v>85</v>
      </c>
      <c r="L4" s="158" t="s">
        <v>86</v>
      </c>
      <c r="M4" s="158" t="s">
        <v>87</v>
      </c>
      <c r="N4" s="158" t="s">
        <v>88</v>
      </c>
      <c r="O4" s="158" t="s">
        <v>89</v>
      </c>
      <c r="P4" s="158" t="s">
        <v>90</v>
      </c>
      <c r="Q4" s="158" t="s">
        <v>91</v>
      </c>
      <c r="R4" s="158" t="s">
        <v>92</v>
      </c>
      <c r="S4" s="158" t="s">
        <v>93</v>
      </c>
      <c r="T4" s="159" t="s">
        <v>94</v>
      </c>
      <c r="U4" s="159" t="s">
        <v>95</v>
      </c>
      <c r="V4" s="160" t="s">
        <v>96</v>
      </c>
      <c r="W4" s="160"/>
      <c r="X4" s="19"/>
      <c r="Y4" s="19"/>
      <c r="Z4" s="19"/>
      <c r="AA4" s="19"/>
      <c r="AB4" s="21"/>
      <c r="AC4" s="12"/>
      <c r="AD4" s="12"/>
      <c r="AE4" s="12"/>
      <c r="AF4" s="12"/>
      <c r="AG4" s="12"/>
      <c r="AH4" s="12"/>
      <c r="AI4" s="12"/>
      <c r="AJ4" s="12"/>
      <c r="AK4" s="12"/>
      <c r="AL4" s="12"/>
      <c r="AM4" s="12"/>
      <c r="AN4" s="12"/>
    </row>
    <row r="5">
      <c r="A5" s="22" t="s">
        <v>20</v>
      </c>
      <c r="B5" s="161" t="s">
        <v>97</v>
      </c>
      <c r="C5" s="162" t="s">
        <v>98</v>
      </c>
      <c r="D5" s="162" t="s">
        <v>99</v>
      </c>
      <c r="E5" s="162" t="s">
        <v>100</v>
      </c>
      <c r="F5" s="162" t="s">
        <v>101</v>
      </c>
      <c r="G5" s="162" t="s">
        <v>102</v>
      </c>
      <c r="H5" s="162" t="s">
        <v>103</v>
      </c>
      <c r="I5" s="162" t="s">
        <v>104</v>
      </c>
      <c r="J5" s="162" t="s">
        <v>105</v>
      </c>
      <c r="K5" s="162" t="s">
        <v>106</v>
      </c>
      <c r="L5" s="162" t="s">
        <v>107</v>
      </c>
      <c r="M5" s="162" t="s">
        <v>108</v>
      </c>
      <c r="N5" s="162" t="s">
        <v>109</v>
      </c>
      <c r="O5" s="162" t="s">
        <v>110</v>
      </c>
      <c r="P5" s="162" t="s">
        <v>111</v>
      </c>
      <c r="Q5" s="162" t="s">
        <v>112</v>
      </c>
      <c r="R5" s="162" t="s">
        <v>113</v>
      </c>
      <c r="S5" s="162" t="s">
        <v>114</v>
      </c>
      <c r="T5" s="162" t="s">
        <v>115</v>
      </c>
      <c r="U5" s="162" t="s">
        <v>116</v>
      </c>
      <c r="V5" s="160" t="s">
        <v>117</v>
      </c>
      <c r="W5" s="160"/>
      <c r="X5" s="24"/>
      <c r="Y5" s="24"/>
      <c r="Z5" s="24"/>
      <c r="AA5" s="25"/>
      <c r="AB5" s="25"/>
      <c r="AC5" s="27"/>
      <c r="AD5" s="28"/>
      <c r="AE5" s="28"/>
      <c r="AF5" s="28"/>
      <c r="AG5" s="28"/>
      <c r="AH5" s="28"/>
      <c r="AI5" s="28"/>
      <c r="AJ5" s="28"/>
      <c r="AK5" s="28"/>
      <c r="AL5" s="28"/>
      <c r="AM5" s="28"/>
      <c r="AN5" s="28"/>
    </row>
    <row r="6">
      <c r="A6" s="29"/>
      <c r="B6" s="30"/>
      <c r="U6" s="31"/>
    </row>
    <row r="7">
      <c r="A7" s="32" t="s">
        <v>21</v>
      </c>
      <c r="B7" s="163">
        <v>166.0</v>
      </c>
      <c r="C7" s="34">
        <v>197.0</v>
      </c>
      <c r="D7" s="34">
        <f>SUM(D8:D9)</f>
        <v>193</v>
      </c>
      <c r="E7" s="34">
        <v>199.0</v>
      </c>
      <c r="F7" s="34">
        <v>202.0</v>
      </c>
      <c r="G7" s="34">
        <v>318.0</v>
      </c>
      <c r="H7" s="34">
        <v>286.0</v>
      </c>
      <c r="I7" s="34">
        <v>81.0</v>
      </c>
      <c r="J7" s="34">
        <v>224.0</v>
      </c>
      <c r="K7" s="34">
        <v>239.0</v>
      </c>
      <c r="L7" s="34">
        <v>214.0</v>
      </c>
      <c r="M7" s="34">
        <v>175.0</v>
      </c>
      <c r="N7" s="34">
        <v>97.0</v>
      </c>
      <c r="O7" s="34">
        <v>233.0</v>
      </c>
      <c r="P7" s="34">
        <v>213.0</v>
      </c>
      <c r="Q7" s="34">
        <v>199.0</v>
      </c>
      <c r="R7" s="34">
        <v>91.0</v>
      </c>
      <c r="S7" s="34">
        <v>277.0</v>
      </c>
      <c r="T7" s="35">
        <f>T8+T9</f>
        <v>216</v>
      </c>
      <c r="U7" s="164">
        <v>296.0</v>
      </c>
      <c r="V7" s="165"/>
      <c r="W7" s="34"/>
      <c r="X7" s="34"/>
      <c r="Y7" s="34"/>
      <c r="Z7" s="34"/>
      <c r="AA7" s="34"/>
      <c r="AB7" s="34"/>
    </row>
    <row r="8">
      <c r="A8" s="37" t="s">
        <v>22</v>
      </c>
      <c r="B8" s="166">
        <v>152.0</v>
      </c>
      <c r="C8" s="39">
        <v>174.0</v>
      </c>
      <c r="D8" s="39">
        <v>177.0</v>
      </c>
      <c r="E8" s="39">
        <v>185.0</v>
      </c>
      <c r="F8" s="39">
        <v>178.0</v>
      </c>
      <c r="G8" s="39">
        <v>182.0</v>
      </c>
      <c r="H8" s="39">
        <v>169.0</v>
      </c>
      <c r="I8" s="39">
        <v>63.0</v>
      </c>
      <c r="J8" s="39">
        <v>193.0</v>
      </c>
      <c r="K8" s="39">
        <v>143.0</v>
      </c>
      <c r="L8" s="39">
        <v>166.0</v>
      </c>
      <c r="M8" s="39">
        <v>163.0</v>
      </c>
      <c r="N8" s="39">
        <v>81.0</v>
      </c>
      <c r="O8" s="39">
        <v>202.0</v>
      </c>
      <c r="P8" s="39">
        <v>203.0</v>
      </c>
      <c r="Q8" s="39">
        <v>161.0</v>
      </c>
      <c r="R8" s="39">
        <v>77.0</v>
      </c>
      <c r="S8" s="39">
        <v>269.0</v>
      </c>
      <c r="T8" s="40">
        <v>179.0</v>
      </c>
      <c r="U8" s="164">
        <v>230.0</v>
      </c>
      <c r="V8" s="165">
        <v>266.0</v>
      </c>
      <c r="W8" s="34"/>
      <c r="X8" s="39"/>
      <c r="Y8" s="39"/>
      <c r="Z8" s="39"/>
      <c r="AA8" s="39"/>
      <c r="AB8" s="39"/>
    </row>
    <row r="9">
      <c r="A9" s="37" t="s">
        <v>23</v>
      </c>
      <c r="B9" s="166">
        <v>14.0</v>
      </c>
      <c r="C9" s="39">
        <v>23.0</v>
      </c>
      <c r="D9" s="39">
        <v>16.0</v>
      </c>
      <c r="E9" s="39">
        <v>14.0</v>
      </c>
      <c r="F9" s="39">
        <v>27.0</v>
      </c>
      <c r="G9" s="39">
        <v>136.0</v>
      </c>
      <c r="H9" s="39">
        <v>117.0</v>
      </c>
      <c r="I9" s="39">
        <v>18.0</v>
      </c>
      <c r="J9" s="39">
        <v>31.0</v>
      </c>
      <c r="K9" s="39">
        <v>96.0</v>
      </c>
      <c r="L9" s="39">
        <v>48.0</v>
      </c>
      <c r="M9" s="39">
        <v>12.0</v>
      </c>
      <c r="N9" s="39">
        <v>16.0</v>
      </c>
      <c r="O9" s="39">
        <v>31.0</v>
      </c>
      <c r="P9" s="39">
        <v>10.0</v>
      </c>
      <c r="Q9" s="39">
        <v>38.0</v>
      </c>
      <c r="R9" s="39">
        <v>14.0</v>
      </c>
      <c r="S9" s="39">
        <v>8.0</v>
      </c>
      <c r="T9" s="40">
        <v>37.0</v>
      </c>
      <c r="U9" s="164">
        <f>U7-U8</f>
        <v>66</v>
      </c>
      <c r="V9" s="165"/>
      <c r="W9" s="34"/>
      <c r="X9" s="39"/>
      <c r="Y9" s="41"/>
      <c r="Z9" s="41"/>
      <c r="AA9" s="41"/>
      <c r="AB9" s="41"/>
    </row>
    <row r="10">
      <c r="A10" s="167" t="s">
        <v>24</v>
      </c>
      <c r="B10" s="168">
        <f t="shared" ref="B10:U10" si="1">B9/B7</f>
        <v>0.0843373494</v>
      </c>
      <c r="C10" s="168">
        <f t="shared" si="1"/>
        <v>0.116751269</v>
      </c>
      <c r="D10" s="168">
        <f t="shared" si="1"/>
        <v>0.0829015544</v>
      </c>
      <c r="E10" s="168">
        <f t="shared" si="1"/>
        <v>0.07035175879</v>
      </c>
      <c r="F10" s="168">
        <f t="shared" si="1"/>
        <v>0.1336633663</v>
      </c>
      <c r="G10" s="168">
        <f t="shared" si="1"/>
        <v>0.427672956</v>
      </c>
      <c r="H10" s="168">
        <f t="shared" si="1"/>
        <v>0.4090909091</v>
      </c>
      <c r="I10" s="168">
        <f t="shared" si="1"/>
        <v>0.2222222222</v>
      </c>
      <c r="J10" s="168">
        <f t="shared" si="1"/>
        <v>0.1383928571</v>
      </c>
      <c r="K10" s="168">
        <f t="shared" si="1"/>
        <v>0.4016736402</v>
      </c>
      <c r="L10" s="168">
        <f t="shared" si="1"/>
        <v>0.2242990654</v>
      </c>
      <c r="M10" s="168">
        <f t="shared" si="1"/>
        <v>0.06857142857</v>
      </c>
      <c r="N10" s="168">
        <f t="shared" si="1"/>
        <v>0.1649484536</v>
      </c>
      <c r="O10" s="168">
        <f t="shared" si="1"/>
        <v>0.1330472103</v>
      </c>
      <c r="P10" s="168">
        <f t="shared" si="1"/>
        <v>0.04694835681</v>
      </c>
      <c r="Q10" s="168">
        <f t="shared" si="1"/>
        <v>0.1909547739</v>
      </c>
      <c r="R10" s="168">
        <f t="shared" si="1"/>
        <v>0.1538461538</v>
      </c>
      <c r="S10" s="168">
        <f t="shared" si="1"/>
        <v>0.02888086643</v>
      </c>
      <c r="T10" s="168">
        <f t="shared" si="1"/>
        <v>0.1712962963</v>
      </c>
      <c r="U10" s="169">
        <f t="shared" si="1"/>
        <v>0.222972973</v>
      </c>
      <c r="V10" s="170"/>
      <c r="W10" s="171"/>
      <c r="X10" s="172"/>
      <c r="Y10" s="173"/>
      <c r="Z10" s="173"/>
      <c r="AA10" s="173"/>
      <c r="AB10" s="173"/>
      <c r="AC10" s="174"/>
      <c r="AD10" s="174"/>
      <c r="AE10" s="174"/>
      <c r="AF10" s="174"/>
      <c r="AG10" s="174"/>
      <c r="AH10" s="174"/>
      <c r="AI10" s="174"/>
      <c r="AJ10" s="174"/>
      <c r="AK10" s="174"/>
      <c r="AL10" s="174"/>
      <c r="AM10" s="174"/>
      <c r="AN10" s="174"/>
    </row>
    <row r="11">
      <c r="A11" s="40"/>
      <c r="B11" s="175"/>
      <c r="C11" s="40"/>
      <c r="D11" s="40"/>
      <c r="E11" s="40"/>
      <c r="F11" s="40"/>
      <c r="G11" s="40"/>
      <c r="H11" s="40"/>
      <c r="I11" s="40"/>
      <c r="J11" s="40"/>
      <c r="K11" s="40"/>
      <c r="L11" s="40"/>
      <c r="M11" s="40"/>
      <c r="N11" s="40"/>
      <c r="O11" s="40"/>
      <c r="P11" s="40"/>
      <c r="Q11" s="40"/>
      <c r="R11" s="40"/>
      <c r="S11" s="40"/>
      <c r="T11" s="40"/>
      <c r="U11" s="47"/>
      <c r="V11" s="47"/>
      <c r="W11" s="40"/>
      <c r="X11" s="40"/>
      <c r="Y11" s="40"/>
      <c r="Z11" s="40"/>
      <c r="AA11" s="40"/>
      <c r="AB11" s="40"/>
    </row>
    <row r="12">
      <c r="A12" s="48" t="s">
        <v>25</v>
      </c>
      <c r="B12" s="166">
        <v>7.0</v>
      </c>
      <c r="C12" s="50">
        <v>22.0</v>
      </c>
      <c r="D12" s="50">
        <v>14.0</v>
      </c>
      <c r="E12" s="50">
        <v>18.0</v>
      </c>
      <c r="F12" s="50">
        <v>29.0</v>
      </c>
      <c r="G12" s="50">
        <v>60.0</v>
      </c>
      <c r="H12" s="50">
        <v>22.0</v>
      </c>
      <c r="I12" s="50">
        <v>5.0</v>
      </c>
      <c r="J12" s="50">
        <v>56.0</v>
      </c>
      <c r="K12" s="50">
        <v>29.0</v>
      </c>
      <c r="L12" s="50">
        <v>44.0</v>
      </c>
      <c r="M12" s="50">
        <v>16.0</v>
      </c>
      <c r="N12" s="50">
        <v>21.0</v>
      </c>
      <c r="O12" s="50">
        <v>27.0</v>
      </c>
      <c r="P12" s="50">
        <v>22.0</v>
      </c>
      <c r="Q12" s="50">
        <v>41.0</v>
      </c>
      <c r="R12" s="50">
        <v>16.0</v>
      </c>
      <c r="S12" s="50">
        <v>15.0</v>
      </c>
      <c r="T12" s="51">
        <v>17.0</v>
      </c>
      <c r="U12" s="164">
        <v>52.0</v>
      </c>
      <c r="V12" s="35"/>
      <c r="W12" s="34"/>
      <c r="X12" s="50"/>
      <c r="Y12" s="50"/>
      <c r="Z12" s="50"/>
      <c r="AA12" s="50"/>
      <c r="AB12" s="50"/>
    </row>
    <row r="13">
      <c r="A13" s="53" t="s">
        <v>26</v>
      </c>
      <c r="B13" s="166">
        <v>27.0</v>
      </c>
      <c r="C13" s="55">
        <v>17.0</v>
      </c>
      <c r="D13" s="55">
        <v>13.0</v>
      </c>
      <c r="E13" s="55">
        <v>15.0</v>
      </c>
      <c r="F13" s="55">
        <v>28.0</v>
      </c>
      <c r="G13" s="55">
        <v>45.0</v>
      </c>
      <c r="H13" s="55">
        <v>36.0</v>
      </c>
      <c r="I13" s="55">
        <v>22.0</v>
      </c>
      <c r="J13" s="55">
        <v>60.0</v>
      </c>
      <c r="K13" s="55">
        <v>72.0</v>
      </c>
      <c r="L13" s="55">
        <v>30.0</v>
      </c>
      <c r="M13" s="55">
        <v>33.0</v>
      </c>
      <c r="N13" s="55">
        <v>16.0</v>
      </c>
      <c r="O13" s="55">
        <v>44.0</v>
      </c>
      <c r="P13" s="55">
        <v>17.0</v>
      </c>
      <c r="Q13" s="55">
        <v>7.0</v>
      </c>
      <c r="R13" s="55">
        <v>11.0</v>
      </c>
      <c r="S13" s="55">
        <v>9.0</v>
      </c>
      <c r="T13" s="56">
        <v>7.0</v>
      </c>
      <c r="U13" s="164">
        <v>36.0</v>
      </c>
      <c r="V13" s="35">
        <v>23.0</v>
      </c>
      <c r="W13" s="34"/>
      <c r="X13" s="55"/>
      <c r="Y13" s="55"/>
      <c r="Z13" s="55"/>
      <c r="AA13" s="55"/>
      <c r="AB13" s="55"/>
    </row>
    <row r="14">
      <c r="A14" s="167" t="s">
        <v>27</v>
      </c>
      <c r="B14" s="176">
        <v>4.0</v>
      </c>
      <c r="C14" s="177">
        <v>10.0</v>
      </c>
      <c r="D14" s="177">
        <v>6.0</v>
      </c>
      <c r="E14" s="177">
        <v>8.0</v>
      </c>
      <c r="F14" s="177">
        <v>14.0</v>
      </c>
      <c r="G14" s="177">
        <v>34.0</v>
      </c>
      <c r="H14" s="177">
        <v>4.0</v>
      </c>
      <c r="I14" s="177">
        <v>3.0</v>
      </c>
      <c r="J14" s="177">
        <v>13.0</v>
      </c>
      <c r="K14" s="177">
        <v>16.0</v>
      </c>
      <c r="L14" s="177">
        <v>14.0</v>
      </c>
      <c r="M14" s="177">
        <v>2.0</v>
      </c>
      <c r="N14" s="177">
        <v>5.0</v>
      </c>
      <c r="O14" s="177">
        <v>7.0</v>
      </c>
      <c r="P14" s="177">
        <v>10.0</v>
      </c>
      <c r="Q14" s="178">
        <f t="shared" ref="Q14:U14" si="2">Q12-Q13</f>
        <v>34</v>
      </c>
      <c r="R14" s="178">
        <f t="shared" si="2"/>
        <v>5</v>
      </c>
      <c r="S14" s="178">
        <f t="shared" si="2"/>
        <v>6</v>
      </c>
      <c r="T14" s="178">
        <f t="shared" si="2"/>
        <v>10</v>
      </c>
      <c r="U14" s="178">
        <f t="shared" si="2"/>
        <v>16</v>
      </c>
      <c r="V14" s="178"/>
      <c r="W14" s="178"/>
      <c r="X14" s="177"/>
      <c r="Y14" s="177"/>
      <c r="Z14" s="177"/>
      <c r="AA14" s="177"/>
      <c r="AB14" s="177"/>
      <c r="AC14" s="174"/>
      <c r="AD14" s="174"/>
      <c r="AE14" s="174"/>
      <c r="AF14" s="174"/>
      <c r="AG14" s="174"/>
      <c r="AH14" s="174"/>
      <c r="AI14" s="174"/>
      <c r="AJ14" s="174"/>
      <c r="AK14" s="174"/>
      <c r="AL14" s="174"/>
      <c r="AM14" s="174"/>
      <c r="AN14" s="174"/>
    </row>
    <row r="15">
      <c r="A15" s="56"/>
      <c r="B15" s="175"/>
      <c r="C15" s="56"/>
      <c r="D15" s="56"/>
      <c r="E15" s="56"/>
      <c r="F15" s="56"/>
      <c r="G15" s="56"/>
      <c r="H15" s="56"/>
      <c r="I15" s="56"/>
      <c r="J15" s="56"/>
      <c r="K15" s="56"/>
      <c r="L15" s="56"/>
      <c r="M15" s="56"/>
      <c r="N15" s="56"/>
      <c r="O15" s="56"/>
      <c r="P15" s="56"/>
      <c r="Q15" s="56"/>
      <c r="R15" s="56"/>
      <c r="S15" s="56"/>
      <c r="T15" s="56"/>
      <c r="U15" s="64"/>
      <c r="V15" s="64"/>
      <c r="W15" s="56"/>
      <c r="X15" s="56"/>
      <c r="Y15" s="56"/>
      <c r="Z15" s="56"/>
      <c r="AA15" s="56"/>
      <c r="AB15" s="56"/>
    </row>
    <row r="16">
      <c r="A16" s="65" t="s">
        <v>28</v>
      </c>
      <c r="B16" s="179"/>
      <c r="C16" s="65"/>
      <c r="D16" s="65"/>
      <c r="E16" s="65"/>
      <c r="F16" s="65"/>
      <c r="G16" s="65"/>
      <c r="H16" s="65"/>
      <c r="I16" s="65"/>
      <c r="J16" s="65"/>
      <c r="K16" s="65"/>
      <c r="L16" s="65"/>
      <c r="M16" s="65"/>
      <c r="N16" s="65"/>
      <c r="O16" s="65"/>
      <c r="P16" s="65"/>
      <c r="Q16" s="65"/>
      <c r="R16" s="65"/>
      <c r="S16" s="65"/>
      <c r="T16" s="67"/>
      <c r="U16" s="68"/>
      <c r="V16" s="68"/>
      <c r="W16" s="65"/>
      <c r="X16" s="65"/>
      <c r="Y16" s="65"/>
      <c r="Z16" s="65"/>
      <c r="AA16" s="65"/>
      <c r="AB16" s="65"/>
    </row>
    <row r="17">
      <c r="A17" s="65" t="s">
        <v>29</v>
      </c>
      <c r="B17" s="179"/>
      <c r="C17" s="65"/>
      <c r="D17" s="65"/>
      <c r="E17" s="65"/>
      <c r="F17" s="65"/>
      <c r="G17" s="65"/>
      <c r="H17" s="65"/>
      <c r="I17" s="65"/>
      <c r="J17" s="65"/>
      <c r="K17" s="65"/>
      <c r="L17" s="65"/>
      <c r="M17" s="65"/>
      <c r="N17" s="65"/>
      <c r="O17" s="65"/>
      <c r="P17" s="65"/>
      <c r="Q17" s="65"/>
      <c r="R17" s="65"/>
      <c r="S17" s="65"/>
      <c r="T17" s="67"/>
      <c r="U17" s="68"/>
      <c r="V17" s="68"/>
      <c r="W17" s="65"/>
      <c r="X17" s="65"/>
      <c r="Y17" s="65"/>
      <c r="Z17" s="65"/>
      <c r="AA17" s="65"/>
      <c r="AB17" s="65"/>
    </row>
    <row r="18">
      <c r="A18" s="69" t="s">
        <v>30</v>
      </c>
      <c r="B18" s="180">
        <v>106.0</v>
      </c>
      <c r="C18" s="69">
        <v>153.0</v>
      </c>
      <c r="D18" s="69">
        <v>140.0</v>
      </c>
      <c r="E18" s="69">
        <v>117.0</v>
      </c>
      <c r="F18" s="69">
        <v>134.0</v>
      </c>
      <c r="G18" s="69">
        <v>198.0</v>
      </c>
      <c r="H18" s="69">
        <v>209.0</v>
      </c>
      <c r="I18" s="69">
        <v>38.0</v>
      </c>
      <c r="J18" s="69">
        <v>148.0</v>
      </c>
      <c r="K18" s="69">
        <v>115.0</v>
      </c>
      <c r="L18" s="69">
        <v>137.0</v>
      </c>
      <c r="M18" s="69">
        <v>83.0</v>
      </c>
      <c r="N18" s="69">
        <v>40.0</v>
      </c>
      <c r="O18" s="69">
        <v>69.0</v>
      </c>
      <c r="P18" s="69">
        <v>137.0</v>
      </c>
      <c r="Q18" s="69">
        <v>90.0</v>
      </c>
      <c r="R18" s="69">
        <v>72.0</v>
      </c>
      <c r="S18" s="69">
        <v>58.0</v>
      </c>
      <c r="T18" s="69">
        <v>93.0</v>
      </c>
      <c r="U18" s="164">
        <v>111.0</v>
      </c>
      <c r="V18" s="35"/>
      <c r="W18" s="34"/>
      <c r="X18" s="69"/>
      <c r="Y18" s="69"/>
      <c r="Z18" s="69"/>
      <c r="AA18" s="69"/>
      <c r="AB18" s="72"/>
      <c r="AC18" s="73"/>
      <c r="AD18" s="73"/>
      <c r="AE18" s="73"/>
      <c r="AF18" s="73"/>
      <c r="AG18" s="73"/>
      <c r="AH18" s="73"/>
      <c r="AI18" s="73"/>
      <c r="AJ18" s="73"/>
      <c r="AK18" s="73"/>
      <c r="AL18" s="73"/>
      <c r="AM18" s="73"/>
      <c r="AN18" s="73"/>
    </row>
    <row r="19">
      <c r="A19" s="74" t="s">
        <v>31</v>
      </c>
      <c r="B19" s="181">
        <v>106.0</v>
      </c>
      <c r="C19" s="74">
        <v>153.0</v>
      </c>
      <c r="D19" s="74">
        <v>140.0</v>
      </c>
      <c r="E19" s="74">
        <v>117.0</v>
      </c>
      <c r="F19" s="74">
        <v>134.0</v>
      </c>
      <c r="G19" s="74">
        <v>198.0</v>
      </c>
      <c r="H19" s="74">
        <v>209.0</v>
      </c>
      <c r="I19" s="74">
        <v>38.0</v>
      </c>
      <c r="J19" s="74">
        <v>148.0</v>
      </c>
      <c r="K19" s="74">
        <v>115.0</v>
      </c>
      <c r="L19" s="74">
        <v>137.0</v>
      </c>
      <c r="M19" s="74">
        <v>83.0</v>
      </c>
      <c r="N19" s="74">
        <v>40.0</v>
      </c>
      <c r="O19" s="74">
        <v>69.0</v>
      </c>
      <c r="P19" s="74">
        <v>137.0</v>
      </c>
      <c r="Q19" s="69">
        <v>90.0</v>
      </c>
      <c r="R19" s="74">
        <v>72.0</v>
      </c>
      <c r="S19" s="74">
        <v>58.0</v>
      </c>
      <c r="T19" s="74">
        <v>93.0</v>
      </c>
      <c r="U19" s="164">
        <v>111.0</v>
      </c>
      <c r="V19" s="35"/>
      <c r="W19" s="34"/>
      <c r="X19" s="74"/>
      <c r="Y19" s="74"/>
      <c r="Z19" s="74"/>
      <c r="AA19" s="74"/>
      <c r="AB19" s="77"/>
      <c r="AC19" s="78"/>
      <c r="AD19" s="78"/>
      <c r="AE19" s="78"/>
      <c r="AF19" s="78"/>
      <c r="AG19" s="78"/>
      <c r="AH19" s="78"/>
      <c r="AI19" s="78"/>
      <c r="AJ19" s="78"/>
      <c r="AK19" s="78"/>
      <c r="AL19" s="78"/>
      <c r="AM19" s="78"/>
      <c r="AN19" s="78"/>
    </row>
    <row r="20">
      <c r="A20" s="69" t="s">
        <v>32</v>
      </c>
      <c r="B20" s="181">
        <v>56.0</v>
      </c>
      <c r="C20" s="69">
        <v>67.0</v>
      </c>
      <c r="D20" s="69">
        <v>67.0</v>
      </c>
      <c r="E20" s="69">
        <v>91.0</v>
      </c>
      <c r="F20" s="69">
        <v>96.0</v>
      </c>
      <c r="G20" s="69">
        <v>164.0</v>
      </c>
      <c r="H20" s="69">
        <v>134.0</v>
      </c>
      <c r="I20" s="69">
        <v>21.0</v>
      </c>
      <c r="J20" s="69">
        <v>109.0</v>
      </c>
      <c r="K20" s="69">
        <v>101.0</v>
      </c>
      <c r="L20" s="69">
        <v>124.0</v>
      </c>
      <c r="M20" s="69">
        <v>29.0</v>
      </c>
      <c r="N20" s="69">
        <v>14.0</v>
      </c>
      <c r="O20" s="69">
        <v>50.0</v>
      </c>
      <c r="P20" s="69">
        <v>56.0</v>
      </c>
      <c r="Q20" s="69">
        <v>68.0</v>
      </c>
      <c r="R20" s="69">
        <v>45.0</v>
      </c>
      <c r="S20" s="69">
        <v>50.0</v>
      </c>
      <c r="T20" s="69">
        <v>50.0</v>
      </c>
      <c r="U20" s="164">
        <v>47.0</v>
      </c>
      <c r="V20" s="35"/>
      <c r="W20" s="34"/>
      <c r="X20" s="69"/>
      <c r="Y20" s="69"/>
      <c r="Z20" s="69"/>
      <c r="AA20" s="69"/>
      <c r="AB20" s="72"/>
      <c r="AC20" s="73"/>
      <c r="AD20" s="73"/>
      <c r="AE20" s="73"/>
      <c r="AF20" s="73"/>
      <c r="AG20" s="73"/>
      <c r="AH20" s="73"/>
      <c r="AI20" s="73"/>
      <c r="AJ20" s="73"/>
      <c r="AK20" s="73"/>
      <c r="AL20" s="73"/>
      <c r="AM20" s="73"/>
      <c r="AN20" s="73"/>
    </row>
    <row r="21">
      <c r="A21" s="79" t="s">
        <v>33</v>
      </c>
      <c r="B21" s="80">
        <f t="shared" ref="B21:U21" si="3">B8-B19</f>
        <v>46</v>
      </c>
      <c r="C21" s="80">
        <f t="shared" si="3"/>
        <v>21</v>
      </c>
      <c r="D21" s="80">
        <f t="shared" si="3"/>
        <v>37</v>
      </c>
      <c r="E21" s="80">
        <f t="shared" si="3"/>
        <v>68</v>
      </c>
      <c r="F21" s="80">
        <f t="shared" si="3"/>
        <v>44</v>
      </c>
      <c r="G21" s="80">
        <f t="shared" si="3"/>
        <v>-16</v>
      </c>
      <c r="H21" s="80">
        <f t="shared" si="3"/>
        <v>-40</v>
      </c>
      <c r="I21" s="80">
        <f t="shared" si="3"/>
        <v>25</v>
      </c>
      <c r="J21" s="80">
        <f t="shared" si="3"/>
        <v>45</v>
      </c>
      <c r="K21" s="80">
        <f t="shared" si="3"/>
        <v>28</v>
      </c>
      <c r="L21" s="80">
        <f t="shared" si="3"/>
        <v>29</v>
      </c>
      <c r="M21" s="80">
        <f t="shared" si="3"/>
        <v>80</v>
      </c>
      <c r="N21" s="80">
        <f t="shared" si="3"/>
        <v>41</v>
      </c>
      <c r="O21" s="80">
        <f t="shared" si="3"/>
        <v>133</v>
      </c>
      <c r="P21" s="80">
        <f t="shared" si="3"/>
        <v>66</v>
      </c>
      <c r="Q21" s="80">
        <f t="shared" si="3"/>
        <v>71</v>
      </c>
      <c r="R21" s="80">
        <f t="shared" si="3"/>
        <v>5</v>
      </c>
      <c r="S21" s="80">
        <f t="shared" si="3"/>
        <v>211</v>
      </c>
      <c r="T21" s="80">
        <f t="shared" si="3"/>
        <v>86</v>
      </c>
      <c r="U21" s="80">
        <f t="shared" si="3"/>
        <v>119</v>
      </c>
      <c r="V21" s="80"/>
      <c r="W21" s="80"/>
      <c r="X21" s="79"/>
      <c r="Y21" s="79"/>
      <c r="Z21" s="79"/>
      <c r="AA21" s="79"/>
      <c r="AB21" s="79"/>
    </row>
    <row r="22">
      <c r="A22" s="82" t="s">
        <v>34</v>
      </c>
      <c r="B22" s="175"/>
      <c r="C22" s="83"/>
      <c r="D22" s="84"/>
      <c r="E22" s="84"/>
      <c r="F22" s="84"/>
      <c r="G22" s="84"/>
      <c r="H22" s="84"/>
      <c r="I22" s="84"/>
      <c r="J22" s="84"/>
      <c r="K22" s="84"/>
      <c r="L22" s="84"/>
      <c r="M22" s="84"/>
      <c r="N22" s="84"/>
      <c r="O22" s="84"/>
      <c r="P22" s="84"/>
      <c r="Q22" s="69"/>
      <c r="R22" s="85"/>
      <c r="S22" s="85"/>
      <c r="T22" s="85"/>
      <c r="U22" s="86"/>
      <c r="V22" s="85"/>
      <c r="W22" s="85"/>
      <c r="X22" s="85"/>
      <c r="Y22" s="85"/>
      <c r="Z22" s="85"/>
      <c r="AA22" s="85"/>
      <c r="AB22" s="87"/>
      <c r="AC22" s="87"/>
      <c r="AD22" s="88"/>
      <c r="AE22" s="88"/>
      <c r="AF22" s="88"/>
      <c r="AG22" s="88"/>
      <c r="AH22" s="88"/>
      <c r="AI22" s="88"/>
      <c r="AJ22" s="88"/>
      <c r="AK22" s="88"/>
      <c r="AL22" s="88"/>
      <c r="AM22" s="88"/>
      <c r="AN22" s="89"/>
    </row>
    <row r="23">
      <c r="A23" s="90" t="s">
        <v>35</v>
      </c>
      <c r="B23" s="91" t="s">
        <v>118</v>
      </c>
      <c r="C23" s="91" t="s">
        <v>119</v>
      </c>
      <c r="D23" s="91" t="s">
        <v>120</v>
      </c>
      <c r="E23" s="91" t="s">
        <v>121</v>
      </c>
      <c r="F23" s="91" t="s">
        <v>122</v>
      </c>
      <c r="G23" s="91" t="s">
        <v>123</v>
      </c>
      <c r="H23" s="91" t="s">
        <v>124</v>
      </c>
      <c r="I23" s="91" t="s">
        <v>125</v>
      </c>
      <c r="J23" s="182" t="s">
        <v>126</v>
      </c>
      <c r="K23" s="182" t="s">
        <v>127</v>
      </c>
      <c r="L23" s="91" t="s">
        <v>128</v>
      </c>
      <c r="M23" s="182" t="s">
        <v>129</v>
      </c>
      <c r="N23" s="91" t="s">
        <v>130</v>
      </c>
      <c r="O23" s="182" t="s">
        <v>131</v>
      </c>
      <c r="P23" s="91" t="s">
        <v>132</v>
      </c>
      <c r="Q23" s="91" t="s">
        <v>133</v>
      </c>
      <c r="R23" s="91" t="s">
        <v>134</v>
      </c>
      <c r="S23" s="91" t="s">
        <v>135</v>
      </c>
      <c r="T23" s="91" t="s">
        <v>136</v>
      </c>
      <c r="U23" s="91" t="s">
        <v>137</v>
      </c>
      <c r="V23" s="91" t="s">
        <v>138</v>
      </c>
      <c r="W23" s="91"/>
      <c r="X23" s="91"/>
      <c r="Y23" s="91"/>
      <c r="Z23" s="91"/>
      <c r="AA23" s="91"/>
      <c r="AB23" s="91"/>
      <c r="AC23" s="94"/>
      <c r="AD23" s="95"/>
      <c r="AE23" s="95"/>
      <c r="AF23" s="95"/>
      <c r="AG23" s="95"/>
      <c r="AH23" s="95"/>
      <c r="AI23" s="95"/>
      <c r="AJ23" s="95"/>
      <c r="AK23" s="95"/>
      <c r="AL23" s="95"/>
      <c r="AM23" s="95"/>
      <c r="AN23" s="95"/>
    </row>
    <row r="24">
      <c r="A24" s="183" t="s">
        <v>139</v>
      </c>
      <c r="B24" s="94">
        <v>49.0</v>
      </c>
      <c r="C24" s="94">
        <v>59.0</v>
      </c>
      <c r="D24" s="94">
        <v>21.0</v>
      </c>
      <c r="E24" s="94">
        <v>38.0</v>
      </c>
      <c r="F24" s="94">
        <v>33.0</v>
      </c>
      <c r="G24" s="94">
        <v>110.0</v>
      </c>
      <c r="H24" s="94">
        <v>68.0</v>
      </c>
      <c r="I24" s="94">
        <v>13.0</v>
      </c>
      <c r="J24" s="94">
        <v>44.0</v>
      </c>
      <c r="K24" s="94">
        <v>59.0</v>
      </c>
      <c r="L24" s="94">
        <v>89.0</v>
      </c>
      <c r="M24" s="94">
        <v>41.0</v>
      </c>
      <c r="N24" s="94">
        <v>16.0</v>
      </c>
      <c r="O24" s="94">
        <v>113.0</v>
      </c>
      <c r="P24" s="94">
        <v>63.0</v>
      </c>
      <c r="Q24" s="94">
        <v>78.0</v>
      </c>
      <c r="R24" s="94">
        <v>21.0</v>
      </c>
      <c r="S24" s="94">
        <v>76.0</v>
      </c>
      <c r="T24" s="94">
        <v>71.0</v>
      </c>
      <c r="U24" s="164">
        <v>61.0</v>
      </c>
      <c r="V24" s="35">
        <v>64.0</v>
      </c>
      <c r="W24" s="34"/>
      <c r="X24" s="94"/>
      <c r="Y24" s="94"/>
      <c r="Z24" s="94"/>
      <c r="AA24" s="94"/>
      <c r="AB24" s="94"/>
      <c r="AC24" s="94"/>
      <c r="AD24" s="95"/>
      <c r="AE24" s="95"/>
      <c r="AF24" s="95"/>
      <c r="AG24" s="95"/>
      <c r="AH24" s="95"/>
      <c r="AI24" s="95"/>
      <c r="AJ24" s="95"/>
      <c r="AK24" s="95"/>
      <c r="AL24" s="95"/>
      <c r="AM24" s="95"/>
      <c r="AN24" s="95"/>
    </row>
    <row r="25">
      <c r="A25" s="183" t="s">
        <v>140</v>
      </c>
      <c r="B25" s="94"/>
      <c r="C25" s="94"/>
      <c r="D25" s="94"/>
      <c r="E25" s="94"/>
      <c r="F25" s="94"/>
      <c r="G25" s="94"/>
      <c r="H25" s="94"/>
      <c r="I25" s="94"/>
      <c r="J25" s="94"/>
      <c r="K25" s="94"/>
      <c r="L25" s="94"/>
      <c r="M25" s="94"/>
      <c r="N25" s="94"/>
      <c r="O25" s="94"/>
      <c r="P25" s="94"/>
      <c r="Q25" s="94"/>
      <c r="R25" s="94"/>
      <c r="S25" s="94"/>
      <c r="T25" s="94"/>
      <c r="U25" s="40"/>
      <c r="V25" s="40"/>
      <c r="W25" s="40"/>
      <c r="X25" s="94"/>
      <c r="Y25" s="94"/>
      <c r="Z25" s="94"/>
      <c r="AA25" s="94"/>
      <c r="AB25" s="94"/>
      <c r="AC25" s="94"/>
      <c r="AD25" s="95"/>
      <c r="AE25" s="95"/>
      <c r="AF25" s="95"/>
      <c r="AG25" s="95"/>
      <c r="AH25" s="95"/>
      <c r="AI25" s="95"/>
      <c r="AJ25" s="95"/>
      <c r="AK25" s="95"/>
      <c r="AL25" s="95"/>
      <c r="AM25" s="95"/>
      <c r="AN25" s="95"/>
    </row>
    <row r="26">
      <c r="A26" s="96" t="s">
        <v>36</v>
      </c>
      <c r="B26" s="97">
        <v>0.0</v>
      </c>
      <c r="C26" s="97">
        <v>1.0</v>
      </c>
      <c r="D26" s="97">
        <v>1.0</v>
      </c>
      <c r="E26" s="97">
        <v>1.0</v>
      </c>
      <c r="F26" s="97">
        <v>1.0</v>
      </c>
      <c r="G26" s="97">
        <v>1.0</v>
      </c>
      <c r="H26" s="97">
        <v>1.0</v>
      </c>
      <c r="I26" s="97">
        <v>1.0</v>
      </c>
      <c r="J26" s="97">
        <v>1.0</v>
      </c>
      <c r="K26" s="97">
        <v>1.0</v>
      </c>
      <c r="L26" s="97">
        <v>1.0</v>
      </c>
      <c r="M26" s="97">
        <v>1.0</v>
      </c>
      <c r="N26" s="98">
        <v>0.0</v>
      </c>
      <c r="O26" s="98">
        <v>0.0</v>
      </c>
      <c r="P26" s="97">
        <v>1.0</v>
      </c>
      <c r="Q26" s="98">
        <v>0.0</v>
      </c>
      <c r="R26" s="97">
        <v>1.0</v>
      </c>
      <c r="S26" s="97">
        <v>0.0</v>
      </c>
      <c r="T26" s="98">
        <v>0.0</v>
      </c>
      <c r="U26" s="98">
        <v>0.0</v>
      </c>
      <c r="V26" s="98"/>
      <c r="W26" s="98"/>
      <c r="X26" s="98">
        <v>0.0</v>
      </c>
      <c r="Y26" s="98">
        <v>0.0</v>
      </c>
      <c r="Z26" s="98">
        <v>0.0</v>
      </c>
      <c r="AA26" s="98">
        <v>0.0</v>
      </c>
      <c r="AB26" s="98">
        <v>0.0</v>
      </c>
      <c r="AC26" s="99"/>
      <c r="AD26" s="100"/>
      <c r="AE26" s="100"/>
      <c r="AF26" s="100"/>
      <c r="AG26" s="100"/>
      <c r="AH26" s="100"/>
      <c r="AI26" s="100"/>
      <c r="AJ26" s="100"/>
      <c r="AK26" s="100"/>
      <c r="AL26" s="100"/>
      <c r="AM26" s="100"/>
      <c r="AN26" s="100"/>
    </row>
    <row r="27">
      <c r="A27" s="101" t="s">
        <v>37</v>
      </c>
      <c r="B27" s="102">
        <f t="shared" ref="B27:V27" si="4">IFERROR(B19/B8, 0)</f>
        <v>0.6973684211</v>
      </c>
      <c r="C27" s="102">
        <f t="shared" si="4"/>
        <v>0.8793103448</v>
      </c>
      <c r="D27" s="102">
        <f t="shared" si="4"/>
        <v>0.790960452</v>
      </c>
      <c r="E27" s="102">
        <f t="shared" si="4"/>
        <v>0.6324324324</v>
      </c>
      <c r="F27" s="102">
        <f t="shared" si="4"/>
        <v>0.7528089888</v>
      </c>
      <c r="G27" s="102">
        <f t="shared" si="4"/>
        <v>1.087912088</v>
      </c>
      <c r="H27" s="102">
        <f t="shared" si="4"/>
        <v>1.236686391</v>
      </c>
      <c r="I27" s="102">
        <f t="shared" si="4"/>
        <v>0.6031746032</v>
      </c>
      <c r="J27" s="102">
        <f t="shared" si="4"/>
        <v>0.7668393782</v>
      </c>
      <c r="K27" s="102">
        <f t="shared" si="4"/>
        <v>0.8041958042</v>
      </c>
      <c r="L27" s="102">
        <f t="shared" si="4"/>
        <v>0.8253012048</v>
      </c>
      <c r="M27" s="102">
        <f t="shared" si="4"/>
        <v>0.509202454</v>
      </c>
      <c r="N27" s="102">
        <f t="shared" si="4"/>
        <v>0.4938271605</v>
      </c>
      <c r="O27" s="102">
        <f t="shared" si="4"/>
        <v>0.3415841584</v>
      </c>
      <c r="P27" s="102">
        <f t="shared" si="4"/>
        <v>0.6748768473</v>
      </c>
      <c r="Q27" s="102">
        <f t="shared" si="4"/>
        <v>0.5590062112</v>
      </c>
      <c r="R27" s="102">
        <f t="shared" si="4"/>
        <v>0.9350649351</v>
      </c>
      <c r="S27" s="102">
        <f t="shared" si="4"/>
        <v>0.2156133829</v>
      </c>
      <c r="T27" s="102">
        <f t="shared" si="4"/>
        <v>0.5195530726</v>
      </c>
      <c r="U27" s="102">
        <f t="shared" si="4"/>
        <v>0.4826086957</v>
      </c>
      <c r="V27" s="102">
        <f t="shared" si="4"/>
        <v>0</v>
      </c>
      <c r="W27" s="102"/>
      <c r="X27" s="103"/>
      <c r="Y27" s="103"/>
      <c r="Z27" s="103"/>
      <c r="AA27" s="103"/>
      <c r="AB27" s="103"/>
    </row>
    <row r="28">
      <c r="A28" s="105" t="s">
        <v>38</v>
      </c>
      <c r="B28" s="106">
        <f t="shared" ref="B28:V28" si="5">IFERROR(B12/B18, 0)</f>
        <v>0.06603773585</v>
      </c>
      <c r="C28" s="106">
        <f t="shared" si="5"/>
        <v>0.1437908497</v>
      </c>
      <c r="D28" s="106">
        <f t="shared" si="5"/>
        <v>0.1</v>
      </c>
      <c r="E28" s="106">
        <f t="shared" si="5"/>
        <v>0.1538461538</v>
      </c>
      <c r="F28" s="106">
        <f t="shared" si="5"/>
        <v>0.2164179104</v>
      </c>
      <c r="G28" s="106">
        <f t="shared" si="5"/>
        <v>0.303030303</v>
      </c>
      <c r="H28" s="106">
        <f t="shared" si="5"/>
        <v>0.1052631579</v>
      </c>
      <c r="I28" s="106">
        <f t="shared" si="5"/>
        <v>0.1315789474</v>
      </c>
      <c r="J28" s="106">
        <f t="shared" si="5"/>
        <v>0.3783783784</v>
      </c>
      <c r="K28" s="106">
        <f t="shared" si="5"/>
        <v>0.252173913</v>
      </c>
      <c r="L28" s="106">
        <f t="shared" si="5"/>
        <v>0.3211678832</v>
      </c>
      <c r="M28" s="106">
        <f t="shared" si="5"/>
        <v>0.1927710843</v>
      </c>
      <c r="N28" s="106">
        <f t="shared" si="5"/>
        <v>0.525</v>
      </c>
      <c r="O28" s="106">
        <f t="shared" si="5"/>
        <v>0.3913043478</v>
      </c>
      <c r="P28" s="106">
        <f t="shared" si="5"/>
        <v>0.1605839416</v>
      </c>
      <c r="Q28" s="106">
        <f t="shared" si="5"/>
        <v>0.4555555556</v>
      </c>
      <c r="R28" s="106">
        <f t="shared" si="5"/>
        <v>0.2222222222</v>
      </c>
      <c r="S28" s="106">
        <f t="shared" si="5"/>
        <v>0.2586206897</v>
      </c>
      <c r="T28" s="106">
        <f t="shared" si="5"/>
        <v>0.1827956989</v>
      </c>
      <c r="U28" s="106">
        <f t="shared" si="5"/>
        <v>0.4684684685</v>
      </c>
      <c r="V28" s="106">
        <f t="shared" si="5"/>
        <v>0</v>
      </c>
      <c r="W28" s="106"/>
      <c r="X28" s="107"/>
      <c r="Y28" s="107"/>
      <c r="Z28" s="107"/>
      <c r="AA28" s="107"/>
      <c r="AB28" s="107"/>
    </row>
    <row r="29">
      <c r="A29" s="109" t="s">
        <v>39</v>
      </c>
      <c r="B29" s="110">
        <f t="shared" ref="B29:V29" si="6">IFERROR(B20/B18, 0)</f>
        <v>0.5283018868</v>
      </c>
      <c r="C29" s="110">
        <f t="shared" si="6"/>
        <v>0.4379084967</v>
      </c>
      <c r="D29" s="110">
        <f t="shared" si="6"/>
        <v>0.4785714286</v>
      </c>
      <c r="E29" s="110">
        <f t="shared" si="6"/>
        <v>0.7777777778</v>
      </c>
      <c r="F29" s="110">
        <f t="shared" si="6"/>
        <v>0.7164179104</v>
      </c>
      <c r="G29" s="110">
        <f t="shared" si="6"/>
        <v>0.8282828283</v>
      </c>
      <c r="H29" s="110">
        <f t="shared" si="6"/>
        <v>0.6411483254</v>
      </c>
      <c r="I29" s="110">
        <f t="shared" si="6"/>
        <v>0.5526315789</v>
      </c>
      <c r="J29" s="110">
        <f t="shared" si="6"/>
        <v>0.7364864865</v>
      </c>
      <c r="K29" s="110">
        <f t="shared" si="6"/>
        <v>0.8782608696</v>
      </c>
      <c r="L29" s="110">
        <f t="shared" si="6"/>
        <v>0.9051094891</v>
      </c>
      <c r="M29" s="110">
        <f t="shared" si="6"/>
        <v>0.3493975904</v>
      </c>
      <c r="N29" s="110">
        <f t="shared" si="6"/>
        <v>0.35</v>
      </c>
      <c r="O29" s="110">
        <f t="shared" si="6"/>
        <v>0.7246376812</v>
      </c>
      <c r="P29" s="110">
        <f t="shared" si="6"/>
        <v>0.4087591241</v>
      </c>
      <c r="Q29" s="110">
        <f t="shared" si="6"/>
        <v>0.7555555556</v>
      </c>
      <c r="R29" s="110">
        <f t="shared" si="6"/>
        <v>0.625</v>
      </c>
      <c r="S29" s="110">
        <f t="shared" si="6"/>
        <v>0.8620689655</v>
      </c>
      <c r="T29" s="110">
        <f t="shared" si="6"/>
        <v>0.5376344086</v>
      </c>
      <c r="U29" s="110">
        <f t="shared" si="6"/>
        <v>0.4234234234</v>
      </c>
      <c r="V29" s="110">
        <f t="shared" si="6"/>
        <v>0</v>
      </c>
      <c r="W29" s="110"/>
      <c r="X29" s="110"/>
      <c r="Y29" s="110"/>
      <c r="Z29" s="110"/>
      <c r="AA29" s="110"/>
      <c r="AB29" s="110"/>
      <c r="AC29" s="112"/>
      <c r="AD29" s="113"/>
      <c r="AE29" s="113"/>
      <c r="AF29" s="113"/>
      <c r="AG29" s="113"/>
      <c r="AH29" s="113"/>
      <c r="AI29" s="113"/>
      <c r="AJ29" s="113"/>
      <c r="AK29" s="113"/>
      <c r="AL29" s="113"/>
      <c r="AM29" s="113"/>
      <c r="AN29" s="113"/>
    </row>
    <row r="30">
      <c r="A30" s="114" t="s">
        <v>40</v>
      </c>
      <c r="B30" s="115"/>
      <c r="C30" s="115"/>
      <c r="D30" s="115"/>
      <c r="E30" s="115"/>
      <c r="F30" s="115"/>
      <c r="G30" s="115"/>
      <c r="H30" s="115"/>
      <c r="I30" s="115"/>
      <c r="J30" s="115"/>
      <c r="K30" s="115"/>
      <c r="L30" s="115"/>
      <c r="M30" s="115"/>
      <c r="N30" s="115"/>
      <c r="O30" s="115"/>
      <c r="P30" s="115"/>
      <c r="Q30" s="115"/>
      <c r="R30" s="115"/>
      <c r="S30" s="115"/>
      <c r="T30" s="115"/>
      <c r="U30" s="116"/>
      <c r="V30" s="116"/>
      <c r="W30" s="115"/>
      <c r="X30" s="115"/>
      <c r="Y30" s="115"/>
      <c r="Z30" s="115"/>
      <c r="AA30" s="115"/>
      <c r="AB30" s="115"/>
      <c r="AC30" s="112"/>
      <c r="AD30" s="113"/>
      <c r="AE30" s="113"/>
      <c r="AF30" s="113"/>
      <c r="AG30" s="113"/>
      <c r="AH30" s="113"/>
      <c r="AI30" s="113"/>
      <c r="AJ30" s="113"/>
      <c r="AK30" s="113"/>
      <c r="AL30" s="113"/>
      <c r="AM30" s="113"/>
      <c r="AN30" s="113"/>
    </row>
    <row r="31">
      <c r="A31" s="117" t="s">
        <v>41</v>
      </c>
      <c r="B31" s="118"/>
      <c r="C31" s="119"/>
      <c r="D31" s="119"/>
      <c r="E31" s="119"/>
      <c r="F31" s="119"/>
      <c r="G31" s="119"/>
      <c r="H31" s="119"/>
      <c r="I31" s="119"/>
      <c r="J31" s="119"/>
      <c r="K31" s="119"/>
      <c r="L31" s="119"/>
      <c r="M31" s="119"/>
      <c r="N31" s="119"/>
      <c r="O31" s="119"/>
      <c r="P31" s="119"/>
      <c r="Q31" s="119"/>
      <c r="R31" s="119"/>
      <c r="S31" s="119"/>
      <c r="T31" s="119"/>
      <c r="U31" s="120"/>
      <c r="V31" s="120"/>
      <c r="W31" s="119"/>
      <c r="X31" s="119"/>
      <c r="Y31" s="119"/>
      <c r="Z31" s="119"/>
      <c r="AA31" s="119"/>
      <c r="AB31" s="119"/>
      <c r="AC31" s="121"/>
      <c r="AD31" s="121"/>
      <c r="AE31" s="121"/>
      <c r="AF31" s="121"/>
      <c r="AG31" s="121"/>
      <c r="AH31" s="99"/>
      <c r="AI31" s="99"/>
      <c r="AJ31" s="99"/>
      <c r="AK31" s="99"/>
      <c r="AL31" s="99"/>
      <c r="AM31" s="99"/>
      <c r="AN31" s="99"/>
    </row>
    <row r="32">
      <c r="A32" s="184" t="s">
        <v>141</v>
      </c>
      <c r="B32" s="185">
        <f t="shared" ref="B32:AB32" si="7">B25/B8</f>
        <v>0</v>
      </c>
      <c r="C32" s="185">
        <f t="shared" si="7"/>
        <v>0</v>
      </c>
      <c r="D32" s="185">
        <f t="shared" si="7"/>
        <v>0</v>
      </c>
      <c r="E32" s="185">
        <f t="shared" si="7"/>
        <v>0</v>
      </c>
      <c r="F32" s="185">
        <f t="shared" si="7"/>
        <v>0</v>
      </c>
      <c r="G32" s="185">
        <f t="shared" si="7"/>
        <v>0</v>
      </c>
      <c r="H32" s="185">
        <f t="shared" si="7"/>
        <v>0</v>
      </c>
      <c r="I32" s="185">
        <f t="shared" si="7"/>
        <v>0</v>
      </c>
      <c r="J32" s="185">
        <f t="shared" si="7"/>
        <v>0</v>
      </c>
      <c r="K32" s="185">
        <f t="shared" si="7"/>
        <v>0</v>
      </c>
      <c r="L32" s="185">
        <f t="shared" si="7"/>
        <v>0</v>
      </c>
      <c r="M32" s="185">
        <f t="shared" si="7"/>
        <v>0</v>
      </c>
      <c r="N32" s="185">
        <f t="shared" si="7"/>
        <v>0</v>
      </c>
      <c r="O32" s="185">
        <f t="shared" si="7"/>
        <v>0</v>
      </c>
      <c r="P32" s="185">
        <f t="shared" si="7"/>
        <v>0</v>
      </c>
      <c r="Q32" s="185">
        <f t="shared" si="7"/>
        <v>0</v>
      </c>
      <c r="R32" s="185">
        <f t="shared" si="7"/>
        <v>0</v>
      </c>
      <c r="S32" s="185">
        <f t="shared" si="7"/>
        <v>0</v>
      </c>
      <c r="T32" s="185">
        <f t="shared" si="7"/>
        <v>0</v>
      </c>
      <c r="U32" s="185">
        <f t="shared" si="7"/>
        <v>0</v>
      </c>
      <c r="V32" s="185">
        <f t="shared" si="7"/>
        <v>0</v>
      </c>
      <c r="W32" s="185" t="str">
        <f t="shared" si="7"/>
        <v>#DIV/0!</v>
      </c>
      <c r="X32" s="185" t="str">
        <f t="shared" si="7"/>
        <v>#DIV/0!</v>
      </c>
      <c r="Y32" s="185" t="str">
        <f t="shared" si="7"/>
        <v>#DIV/0!</v>
      </c>
      <c r="Z32" s="185" t="str">
        <f t="shared" si="7"/>
        <v>#DIV/0!</v>
      </c>
      <c r="AA32" s="185" t="str">
        <f t="shared" si="7"/>
        <v>#DIV/0!</v>
      </c>
      <c r="AB32" s="185" t="str">
        <f t="shared" si="7"/>
        <v>#DIV/0!</v>
      </c>
      <c r="AC32" s="186"/>
      <c r="AD32" s="186"/>
      <c r="AE32" s="186"/>
      <c r="AF32" s="186"/>
      <c r="AG32" s="186"/>
      <c r="AH32" s="186"/>
      <c r="AI32" s="186"/>
      <c r="AJ32" s="186"/>
      <c r="AK32" s="186"/>
      <c r="AL32" s="186"/>
      <c r="AM32" s="186"/>
      <c r="AN32" s="186"/>
    </row>
    <row r="33">
      <c r="A33" s="187" t="s">
        <v>42</v>
      </c>
      <c r="B33" s="185">
        <f t="shared" ref="B33:V33" si="8">B24/B8</f>
        <v>0.3223684211</v>
      </c>
      <c r="C33" s="185">
        <f t="shared" si="8"/>
        <v>0.3390804598</v>
      </c>
      <c r="D33" s="185">
        <f t="shared" si="8"/>
        <v>0.1186440678</v>
      </c>
      <c r="E33" s="185">
        <f t="shared" si="8"/>
        <v>0.2054054054</v>
      </c>
      <c r="F33" s="185">
        <f t="shared" si="8"/>
        <v>0.1853932584</v>
      </c>
      <c r="G33" s="185">
        <f t="shared" si="8"/>
        <v>0.6043956044</v>
      </c>
      <c r="H33" s="185">
        <f t="shared" si="8"/>
        <v>0.4023668639</v>
      </c>
      <c r="I33" s="185">
        <f t="shared" si="8"/>
        <v>0.2063492063</v>
      </c>
      <c r="J33" s="185">
        <f t="shared" si="8"/>
        <v>0.2279792746</v>
      </c>
      <c r="K33" s="185">
        <f t="shared" si="8"/>
        <v>0.4125874126</v>
      </c>
      <c r="L33" s="185">
        <f t="shared" si="8"/>
        <v>0.5361445783</v>
      </c>
      <c r="M33" s="185">
        <f t="shared" si="8"/>
        <v>0.2515337423</v>
      </c>
      <c r="N33" s="185">
        <f t="shared" si="8"/>
        <v>0.1975308642</v>
      </c>
      <c r="O33" s="185">
        <f t="shared" si="8"/>
        <v>0.5594059406</v>
      </c>
      <c r="P33" s="185">
        <f t="shared" si="8"/>
        <v>0.3103448276</v>
      </c>
      <c r="Q33" s="185">
        <f t="shared" si="8"/>
        <v>0.4844720497</v>
      </c>
      <c r="R33" s="185">
        <f t="shared" si="8"/>
        <v>0.2727272727</v>
      </c>
      <c r="S33" s="185">
        <f t="shared" si="8"/>
        <v>0.282527881</v>
      </c>
      <c r="T33" s="185">
        <f t="shared" si="8"/>
        <v>0.3966480447</v>
      </c>
      <c r="U33" s="185">
        <f t="shared" si="8"/>
        <v>0.2652173913</v>
      </c>
      <c r="V33" s="185">
        <f t="shared" si="8"/>
        <v>0.2406015038</v>
      </c>
      <c r="W33" s="185"/>
      <c r="X33" s="185">
        <v>0.0</v>
      </c>
      <c r="Y33" s="185">
        <v>0.0</v>
      </c>
      <c r="Z33" s="185">
        <v>0.0</v>
      </c>
      <c r="AA33" s="185">
        <v>0.0</v>
      </c>
      <c r="AB33" s="185">
        <v>0.0</v>
      </c>
      <c r="AC33" s="188"/>
      <c r="AD33" s="189"/>
      <c r="AE33" s="189"/>
      <c r="AF33" s="189"/>
      <c r="AG33" s="189"/>
      <c r="AH33" s="147"/>
      <c r="AI33" s="147"/>
      <c r="AJ33" s="147"/>
      <c r="AK33" s="147"/>
      <c r="AL33" s="147"/>
      <c r="AM33" s="147"/>
      <c r="AN33" s="147"/>
    </row>
    <row r="34">
      <c r="A34" s="190" t="s">
        <v>43</v>
      </c>
      <c r="B34" s="191">
        <v>1.0</v>
      </c>
      <c r="C34" s="191">
        <v>1.0</v>
      </c>
      <c r="D34" s="185">
        <v>0.0</v>
      </c>
      <c r="E34" s="191">
        <v>1.0</v>
      </c>
      <c r="F34" s="191">
        <v>1.0</v>
      </c>
      <c r="G34" s="191">
        <v>1.0</v>
      </c>
      <c r="H34" s="191">
        <v>1.0</v>
      </c>
      <c r="I34" s="191">
        <v>1.0</v>
      </c>
      <c r="J34" s="191">
        <v>1.0</v>
      </c>
      <c r="K34" s="191">
        <v>1.0</v>
      </c>
      <c r="L34" s="191">
        <v>1.0</v>
      </c>
      <c r="M34" s="191">
        <v>1.0</v>
      </c>
      <c r="N34" s="185">
        <v>0.0</v>
      </c>
      <c r="O34" s="191">
        <v>1.0</v>
      </c>
      <c r="P34" s="191">
        <v>1.0</v>
      </c>
      <c r="Q34" s="191">
        <v>1.0</v>
      </c>
      <c r="R34" s="191">
        <v>1.0</v>
      </c>
      <c r="S34" s="191">
        <v>1.0</v>
      </c>
      <c r="T34" s="191">
        <v>1.0</v>
      </c>
      <c r="U34" s="191">
        <v>1.0</v>
      </c>
      <c r="V34" s="191">
        <v>1.0</v>
      </c>
      <c r="W34" s="191"/>
      <c r="X34" s="185">
        <v>0.0</v>
      </c>
      <c r="Y34" s="185">
        <v>0.0</v>
      </c>
      <c r="Z34" s="185">
        <v>0.0</v>
      </c>
      <c r="AA34" s="185">
        <v>0.0</v>
      </c>
      <c r="AB34" s="185">
        <v>0.0</v>
      </c>
      <c r="AC34" s="189"/>
      <c r="AD34" s="189"/>
      <c r="AE34" s="189"/>
      <c r="AF34" s="189"/>
      <c r="AG34" s="189"/>
      <c r="AH34" s="147"/>
      <c r="AI34" s="147"/>
      <c r="AJ34" s="147"/>
      <c r="AK34" s="147"/>
      <c r="AL34" s="147"/>
      <c r="AM34" s="147"/>
      <c r="AN34" s="147"/>
    </row>
    <row r="35">
      <c r="A35" s="187" t="s">
        <v>44</v>
      </c>
      <c r="B35" s="192">
        <f t="shared" ref="B35:V35" si="9">(B26*0.7) + (IF(B33 &gt;= 30%, 1, 0)*0.15) + (B34*0.15)</f>
        <v>0.3</v>
      </c>
      <c r="C35" s="192">
        <f t="shared" si="9"/>
        <v>1</v>
      </c>
      <c r="D35" s="192">
        <f t="shared" si="9"/>
        <v>0.7</v>
      </c>
      <c r="E35" s="192">
        <f t="shared" si="9"/>
        <v>0.85</v>
      </c>
      <c r="F35" s="192">
        <f t="shared" si="9"/>
        <v>0.85</v>
      </c>
      <c r="G35" s="192">
        <f t="shared" si="9"/>
        <v>1</v>
      </c>
      <c r="H35" s="192">
        <f t="shared" si="9"/>
        <v>1</v>
      </c>
      <c r="I35" s="192">
        <f t="shared" si="9"/>
        <v>0.85</v>
      </c>
      <c r="J35" s="192">
        <f t="shared" si="9"/>
        <v>0.85</v>
      </c>
      <c r="K35" s="192">
        <f t="shared" si="9"/>
        <v>1</v>
      </c>
      <c r="L35" s="192">
        <f t="shared" si="9"/>
        <v>1</v>
      </c>
      <c r="M35" s="192">
        <f t="shared" si="9"/>
        <v>0.85</v>
      </c>
      <c r="N35" s="192">
        <f t="shared" si="9"/>
        <v>0</v>
      </c>
      <c r="O35" s="192">
        <f t="shared" si="9"/>
        <v>0.3</v>
      </c>
      <c r="P35" s="192">
        <f t="shared" si="9"/>
        <v>1</v>
      </c>
      <c r="Q35" s="192">
        <f t="shared" si="9"/>
        <v>0.3</v>
      </c>
      <c r="R35" s="192">
        <f t="shared" si="9"/>
        <v>0.85</v>
      </c>
      <c r="S35" s="192">
        <f t="shared" si="9"/>
        <v>0.15</v>
      </c>
      <c r="T35" s="192">
        <f t="shared" si="9"/>
        <v>0.3</v>
      </c>
      <c r="U35" s="192">
        <f t="shared" si="9"/>
        <v>0.15</v>
      </c>
      <c r="V35" s="192">
        <f t="shared" si="9"/>
        <v>0.15</v>
      </c>
      <c r="W35" s="192"/>
      <c r="X35" s="192">
        <f t="shared" ref="X35:AB35" si="10">(X26*0.7) + (IF(X33 &gt;= 30%, 1, 0)*0.15) + (X34*0.15)</f>
        <v>0</v>
      </c>
      <c r="Y35" s="192">
        <f t="shared" si="10"/>
        <v>0</v>
      </c>
      <c r="Z35" s="192">
        <f t="shared" si="10"/>
        <v>0</v>
      </c>
      <c r="AA35" s="192">
        <f t="shared" si="10"/>
        <v>0</v>
      </c>
      <c r="AB35" s="192">
        <f t="shared" si="10"/>
        <v>0</v>
      </c>
      <c r="AC35" s="189"/>
      <c r="AD35" s="189"/>
      <c r="AE35" s="189"/>
      <c r="AF35" s="189"/>
      <c r="AG35" s="189"/>
      <c r="AH35" s="147"/>
      <c r="AI35" s="147"/>
      <c r="AJ35" s="147"/>
      <c r="AK35" s="147"/>
      <c r="AL35" s="147"/>
      <c r="AM35" s="147"/>
      <c r="AN35" s="147"/>
    </row>
    <row r="36">
      <c r="A36" s="193" t="s">
        <v>142</v>
      </c>
      <c r="B36" s="194"/>
      <c r="O36" s="192">
        <v>0.3</v>
      </c>
      <c r="P36" s="192">
        <v>1.0</v>
      </c>
      <c r="Q36" s="192">
        <v>0.3</v>
      </c>
      <c r="R36" s="195">
        <v>1.0</v>
      </c>
      <c r="S36" s="195">
        <v>0.3</v>
      </c>
      <c r="T36" s="195">
        <v>0.3</v>
      </c>
      <c r="U36" s="195">
        <v>0.15</v>
      </c>
      <c r="V36" s="195">
        <v>0.15</v>
      </c>
      <c r="W36" s="195"/>
    </row>
    <row r="37">
      <c r="A37" s="126" t="s">
        <v>45</v>
      </c>
      <c r="B37" s="127"/>
      <c r="C37" s="128"/>
      <c r="D37" s="128"/>
      <c r="E37" s="128"/>
      <c r="F37" s="128"/>
      <c r="G37" s="128"/>
      <c r="H37" s="128"/>
      <c r="I37" s="128"/>
      <c r="J37" s="128"/>
      <c r="K37" s="128"/>
      <c r="L37" s="128"/>
      <c r="M37" s="128"/>
      <c r="N37" s="128"/>
      <c r="O37" s="128"/>
      <c r="P37" s="128"/>
      <c r="Q37" s="128"/>
      <c r="R37" s="128"/>
      <c r="S37" s="128"/>
      <c r="T37" s="128"/>
      <c r="U37" s="129"/>
      <c r="V37" s="129"/>
      <c r="W37" s="128"/>
      <c r="X37" s="128"/>
      <c r="Y37" s="128"/>
      <c r="Z37" s="128"/>
      <c r="AA37" s="128"/>
      <c r="AB37" s="128"/>
      <c r="AC37" s="128"/>
      <c r="AD37" s="128"/>
      <c r="AE37" s="130"/>
      <c r="AF37" s="130"/>
      <c r="AG37" s="130"/>
      <c r="AH37" s="130"/>
      <c r="AI37" s="130"/>
      <c r="AJ37" s="130"/>
      <c r="AK37" s="130"/>
      <c r="AL37" s="130"/>
      <c r="AM37" s="130"/>
      <c r="AN37" s="130"/>
    </row>
    <row r="38">
      <c r="A38" s="196" t="s">
        <v>143</v>
      </c>
      <c r="B38" s="197">
        <v>27.0</v>
      </c>
      <c r="C38" s="132">
        <v>35.0</v>
      </c>
      <c r="D38" s="133">
        <v>31.0</v>
      </c>
      <c r="E38" s="133">
        <v>33.0</v>
      </c>
      <c r="F38" s="133">
        <v>21.0</v>
      </c>
      <c r="G38" s="133">
        <v>34.0</v>
      </c>
      <c r="H38" s="130"/>
      <c r="I38" s="133">
        <v>18.0</v>
      </c>
      <c r="J38" s="133">
        <v>58.0</v>
      </c>
      <c r="L38" s="130"/>
      <c r="M38" s="133">
        <v>56.0</v>
      </c>
      <c r="N38" s="133">
        <v>19.0</v>
      </c>
      <c r="O38" s="133">
        <v>98.0</v>
      </c>
      <c r="Q38" s="133">
        <v>39.0</v>
      </c>
      <c r="R38" s="133">
        <v>23.0</v>
      </c>
      <c r="S38" s="133">
        <v>36.0</v>
      </c>
      <c r="T38" s="133">
        <v>24.0</v>
      </c>
      <c r="U38" s="133">
        <v>26.0</v>
      </c>
      <c r="V38" s="133">
        <v>39.0</v>
      </c>
      <c r="W38" s="133"/>
      <c r="X38" s="133"/>
      <c r="Y38" s="133"/>
      <c r="Z38" s="133"/>
      <c r="AA38" s="133"/>
      <c r="AB38" s="133"/>
      <c r="AC38" s="133"/>
      <c r="AD38" s="130"/>
      <c r="AE38" s="130"/>
      <c r="AF38" s="130"/>
      <c r="AG38" s="130"/>
      <c r="AH38" s="130"/>
      <c r="AI38" s="130"/>
      <c r="AJ38" s="130"/>
      <c r="AK38" s="130"/>
      <c r="AL38" s="130"/>
      <c r="AM38" s="130"/>
      <c r="AN38" s="130"/>
    </row>
    <row r="39">
      <c r="A39" s="198" t="s">
        <v>144</v>
      </c>
      <c r="B39" s="197"/>
      <c r="C39" s="132"/>
      <c r="D39" s="133"/>
      <c r="E39" s="133"/>
      <c r="F39" s="133"/>
      <c r="G39" s="133"/>
      <c r="H39" s="130"/>
      <c r="I39" s="133"/>
      <c r="J39" s="133"/>
      <c r="L39" s="130"/>
      <c r="M39" s="133"/>
      <c r="N39" s="133"/>
      <c r="O39" s="133">
        <v>11.0</v>
      </c>
      <c r="Q39" s="133">
        <v>21.0</v>
      </c>
      <c r="R39" s="133">
        <v>9.0</v>
      </c>
      <c r="S39" s="133">
        <v>42.0</v>
      </c>
      <c r="T39" s="133">
        <v>36.0</v>
      </c>
      <c r="U39" s="133">
        <v>35.0</v>
      </c>
      <c r="V39" s="133">
        <v>26.0</v>
      </c>
      <c r="W39" s="133"/>
      <c r="X39" s="133"/>
      <c r="Y39" s="133"/>
      <c r="Z39" s="133"/>
      <c r="AA39" s="133"/>
      <c r="AB39" s="133"/>
      <c r="AC39" s="133"/>
      <c r="AD39" s="130"/>
      <c r="AE39" s="130"/>
      <c r="AF39" s="130"/>
      <c r="AG39" s="130"/>
      <c r="AH39" s="130"/>
      <c r="AI39" s="130"/>
      <c r="AJ39" s="130"/>
      <c r="AK39" s="130"/>
      <c r="AL39" s="130"/>
      <c r="AM39" s="130"/>
      <c r="AN39" s="130"/>
    </row>
    <row r="40">
      <c r="A40" s="196" t="s">
        <v>145</v>
      </c>
      <c r="B40" s="197">
        <v>37.0</v>
      </c>
      <c r="C40" s="132">
        <v>37.0</v>
      </c>
      <c r="D40" s="133">
        <v>36.0</v>
      </c>
      <c r="E40" s="199">
        <v>40.0</v>
      </c>
      <c r="F40" s="133">
        <v>42.0</v>
      </c>
      <c r="G40" s="133">
        <v>38.0</v>
      </c>
      <c r="H40" s="130"/>
      <c r="I40" s="133">
        <v>13.0</v>
      </c>
      <c r="J40" s="133">
        <v>32.0</v>
      </c>
      <c r="L40" s="130"/>
      <c r="M40" s="133">
        <v>30.0</v>
      </c>
      <c r="N40" s="133">
        <v>3.0</v>
      </c>
      <c r="O40" s="133">
        <v>19.0</v>
      </c>
      <c r="Q40" s="133">
        <v>26.0</v>
      </c>
      <c r="R40" s="133">
        <v>19.0</v>
      </c>
      <c r="S40" s="133">
        <v>43.0</v>
      </c>
      <c r="T40" s="133">
        <v>36.0</v>
      </c>
      <c r="U40" s="133">
        <v>38.0</v>
      </c>
      <c r="V40" s="133">
        <v>44.0</v>
      </c>
      <c r="W40" s="133"/>
      <c r="X40" s="133"/>
      <c r="Y40" s="133"/>
      <c r="Z40" s="133"/>
      <c r="AA40" s="133"/>
      <c r="AB40" s="133"/>
      <c r="AC40" s="133"/>
      <c r="AD40" s="130"/>
      <c r="AE40" s="130"/>
      <c r="AF40" s="130"/>
      <c r="AG40" s="130"/>
      <c r="AH40" s="130"/>
      <c r="AI40" s="130"/>
      <c r="AJ40" s="130"/>
      <c r="AK40" s="130"/>
      <c r="AL40" s="130"/>
      <c r="AM40" s="130"/>
      <c r="AN40" s="130"/>
    </row>
    <row r="41">
      <c r="A41" s="196" t="s">
        <v>146</v>
      </c>
      <c r="B41" s="197">
        <v>29.0</v>
      </c>
      <c r="C41" s="132">
        <v>31.0</v>
      </c>
      <c r="D41" s="133">
        <v>34.0</v>
      </c>
      <c r="E41" s="133">
        <v>37.0</v>
      </c>
      <c r="F41" s="133">
        <v>36.0</v>
      </c>
      <c r="G41" s="133">
        <v>42.0</v>
      </c>
      <c r="H41" s="130"/>
      <c r="I41" s="133">
        <v>11.0</v>
      </c>
      <c r="J41" s="133">
        <v>33.0</v>
      </c>
      <c r="L41" s="130"/>
      <c r="M41" s="133">
        <v>22.0</v>
      </c>
      <c r="N41" s="133">
        <v>24.0</v>
      </c>
      <c r="O41" s="133">
        <v>21.0</v>
      </c>
      <c r="Q41" s="133">
        <v>38.0</v>
      </c>
      <c r="R41" s="133">
        <v>15.0</v>
      </c>
      <c r="S41" s="133">
        <v>65.0</v>
      </c>
      <c r="T41" s="133">
        <v>15.0</v>
      </c>
      <c r="U41" s="133">
        <v>37.0</v>
      </c>
      <c r="V41" s="133">
        <v>36.0</v>
      </c>
      <c r="W41" s="133"/>
      <c r="X41" s="133"/>
      <c r="Y41" s="133"/>
      <c r="Z41" s="133"/>
      <c r="AA41" s="133"/>
      <c r="AB41" s="133"/>
      <c r="AC41" s="133"/>
      <c r="AD41" s="130"/>
      <c r="AE41" s="130"/>
      <c r="AF41" s="130"/>
      <c r="AG41" s="130"/>
      <c r="AH41" s="130"/>
      <c r="AI41" s="130"/>
      <c r="AJ41" s="130"/>
      <c r="AK41" s="130"/>
      <c r="AL41" s="130"/>
      <c r="AM41" s="130"/>
      <c r="AN41" s="130"/>
    </row>
    <row r="42" ht="24.75" customHeight="1">
      <c r="A42" s="196" t="s">
        <v>147</v>
      </c>
      <c r="B42" s="197">
        <v>27.0</v>
      </c>
      <c r="C42" s="132">
        <v>44.0</v>
      </c>
      <c r="D42" s="133">
        <v>39.0</v>
      </c>
      <c r="E42" s="199">
        <v>38.0</v>
      </c>
      <c r="F42" s="133">
        <v>34.0</v>
      </c>
      <c r="G42" s="133">
        <v>36.0</v>
      </c>
      <c r="H42" s="130"/>
      <c r="I42" s="133">
        <v>13.0</v>
      </c>
      <c r="J42" s="133">
        <v>36.0</v>
      </c>
      <c r="L42" s="130"/>
      <c r="M42" s="133">
        <v>26.0</v>
      </c>
      <c r="N42" s="133">
        <v>19.0</v>
      </c>
      <c r="O42" s="133">
        <v>30.0</v>
      </c>
      <c r="Q42" s="133">
        <v>23.0</v>
      </c>
      <c r="R42" s="133">
        <v>11.0</v>
      </c>
      <c r="S42" s="133">
        <v>39.0</v>
      </c>
      <c r="T42" s="133">
        <v>30.0</v>
      </c>
      <c r="U42" s="133">
        <v>44.0</v>
      </c>
      <c r="V42" s="133">
        <v>43.0</v>
      </c>
      <c r="W42" s="133"/>
      <c r="X42" s="130"/>
      <c r="Y42" s="130"/>
      <c r="Z42" s="130"/>
      <c r="AA42" s="130"/>
      <c r="AB42" s="130"/>
      <c r="AC42" s="130"/>
      <c r="AD42" s="130"/>
      <c r="AE42" s="130"/>
      <c r="AF42" s="130"/>
      <c r="AG42" s="130"/>
      <c r="AH42" s="130"/>
      <c r="AI42" s="130"/>
      <c r="AJ42" s="130"/>
      <c r="AK42" s="130"/>
      <c r="AL42" s="130"/>
      <c r="AM42" s="130"/>
      <c r="AN42" s="130"/>
    </row>
    <row r="43">
      <c r="A43" s="196" t="s">
        <v>148</v>
      </c>
      <c r="B43" s="197">
        <v>32.0</v>
      </c>
      <c r="C43" s="132">
        <v>37.0</v>
      </c>
      <c r="D43" s="133">
        <v>37.0</v>
      </c>
      <c r="E43" s="133">
        <v>37.0</v>
      </c>
      <c r="F43" s="133">
        <v>45.0</v>
      </c>
      <c r="G43" s="133">
        <v>32.0</v>
      </c>
      <c r="H43" s="130"/>
      <c r="I43" s="133">
        <v>8.0</v>
      </c>
      <c r="J43" s="133">
        <v>34.0</v>
      </c>
      <c r="L43" s="130"/>
      <c r="M43" s="133">
        <v>29.0</v>
      </c>
      <c r="N43" s="133">
        <v>17.0</v>
      </c>
      <c r="O43" s="133">
        <v>23.0</v>
      </c>
      <c r="Q43" s="133">
        <v>14.0</v>
      </c>
      <c r="R43" s="200" t="s">
        <v>59</v>
      </c>
      <c r="S43" s="133">
        <v>38.0</v>
      </c>
      <c r="T43" s="133">
        <v>38.0</v>
      </c>
      <c r="U43" s="133">
        <v>50.0</v>
      </c>
      <c r="V43" s="133">
        <v>57.0</v>
      </c>
      <c r="W43" s="133"/>
      <c r="X43" s="133"/>
      <c r="Y43" s="133"/>
      <c r="Z43" s="133"/>
      <c r="AA43" s="133"/>
      <c r="AB43" s="133"/>
      <c r="AC43" s="133"/>
      <c r="AD43" s="130"/>
      <c r="AE43" s="130"/>
      <c r="AF43" s="130"/>
      <c r="AG43" s="130"/>
      <c r="AH43" s="130"/>
      <c r="AI43" s="130"/>
      <c r="AJ43" s="130"/>
      <c r="AK43" s="130"/>
      <c r="AL43" s="130"/>
      <c r="AM43" s="130"/>
      <c r="AN43" s="130"/>
    </row>
    <row r="44">
      <c r="A44" s="198" t="s">
        <v>149</v>
      </c>
      <c r="B44" s="197"/>
      <c r="C44" s="132"/>
      <c r="D44" s="133"/>
      <c r="E44" s="133"/>
      <c r="F44" s="133"/>
      <c r="G44" s="133"/>
      <c r="H44" s="130"/>
      <c r="I44" s="133"/>
      <c r="J44" s="133"/>
      <c r="L44" s="130"/>
      <c r="M44" s="133"/>
      <c r="N44" s="133"/>
      <c r="O44" s="133"/>
      <c r="Q44" s="133"/>
      <c r="R44" s="200"/>
      <c r="S44" s="133"/>
      <c r="T44" s="133"/>
      <c r="U44" s="133"/>
      <c r="V44" s="133">
        <v>21.0</v>
      </c>
      <c r="W44" s="133"/>
      <c r="X44" s="133"/>
      <c r="Y44" s="133"/>
      <c r="Z44" s="133"/>
      <c r="AA44" s="133"/>
      <c r="AB44" s="133"/>
      <c r="AC44" s="133"/>
      <c r="AD44" s="130"/>
      <c r="AE44" s="130"/>
      <c r="AF44" s="130"/>
      <c r="AG44" s="130"/>
      <c r="AH44" s="130"/>
      <c r="AI44" s="130"/>
      <c r="AJ44" s="130"/>
      <c r="AK44" s="130"/>
      <c r="AL44" s="130"/>
      <c r="AM44" s="130"/>
      <c r="AN44" s="130"/>
    </row>
    <row r="45">
      <c r="A45" s="196"/>
      <c r="B45" s="197"/>
      <c r="C45" s="132"/>
      <c r="D45" s="133"/>
      <c r="E45" s="133"/>
      <c r="F45" s="133"/>
      <c r="G45" s="133"/>
      <c r="H45" s="130"/>
      <c r="I45" s="133"/>
      <c r="J45" s="133"/>
      <c r="L45" s="130"/>
      <c r="M45" s="133"/>
      <c r="N45" s="133"/>
      <c r="O45" s="133"/>
      <c r="Q45" s="133"/>
      <c r="R45" s="200"/>
      <c r="S45" s="133"/>
      <c r="T45" s="133"/>
      <c r="U45" s="133"/>
      <c r="V45" s="133"/>
      <c r="W45" s="133"/>
      <c r="X45" s="133"/>
      <c r="Y45" s="133"/>
      <c r="Z45" s="133"/>
      <c r="AA45" s="133"/>
      <c r="AB45" s="133"/>
      <c r="AC45" s="133"/>
      <c r="AD45" s="130"/>
      <c r="AE45" s="130"/>
      <c r="AF45" s="130"/>
      <c r="AG45" s="130"/>
      <c r="AH45" s="130"/>
      <c r="AI45" s="130"/>
      <c r="AJ45" s="130"/>
      <c r="AK45" s="130"/>
      <c r="AL45" s="130"/>
      <c r="AM45" s="130"/>
      <c r="AN45" s="130"/>
    </row>
    <row r="46">
      <c r="A46" s="196"/>
      <c r="B46" s="197"/>
      <c r="C46" s="132"/>
      <c r="D46" s="133"/>
      <c r="E46" s="133"/>
      <c r="F46" s="133"/>
      <c r="G46" s="133"/>
      <c r="H46" s="130"/>
      <c r="I46" s="133"/>
      <c r="J46" s="133"/>
      <c r="L46" s="130"/>
      <c r="M46" s="133"/>
      <c r="N46" s="133"/>
      <c r="O46" s="133"/>
      <c r="Q46" s="133"/>
      <c r="R46" s="200"/>
      <c r="S46" s="133"/>
      <c r="T46" s="133"/>
      <c r="U46" s="133"/>
      <c r="V46" s="133"/>
      <c r="W46" s="133"/>
      <c r="X46" s="133"/>
      <c r="Y46" s="133"/>
      <c r="Z46" s="133"/>
      <c r="AA46" s="133"/>
      <c r="AB46" s="133"/>
      <c r="AC46" s="133"/>
      <c r="AD46" s="130"/>
      <c r="AE46" s="130"/>
      <c r="AF46" s="130"/>
      <c r="AG46" s="130"/>
      <c r="AH46" s="130"/>
      <c r="AI46" s="130"/>
      <c r="AJ46" s="130"/>
      <c r="AK46" s="130"/>
      <c r="AL46" s="130"/>
      <c r="AM46" s="130"/>
      <c r="AN46" s="130"/>
    </row>
    <row r="47">
      <c r="A47" s="198" t="s">
        <v>150</v>
      </c>
      <c r="B47" s="197"/>
      <c r="C47" s="132"/>
      <c r="D47" s="133"/>
      <c r="E47" s="133"/>
      <c r="F47" s="133"/>
      <c r="G47" s="133"/>
      <c r="H47" s="130"/>
      <c r="I47" s="133"/>
      <c r="J47" s="133"/>
      <c r="L47" s="130"/>
      <c r="M47" s="133"/>
      <c r="N47" s="133"/>
      <c r="O47" s="133"/>
      <c r="Q47" s="133"/>
      <c r="R47" s="200"/>
      <c r="S47" s="133"/>
      <c r="T47" s="133"/>
      <c r="U47" s="133"/>
      <c r="V47" s="133">
        <v>16.0</v>
      </c>
      <c r="W47" s="133"/>
      <c r="X47" s="133"/>
      <c r="Y47" s="133"/>
      <c r="Z47" s="133"/>
      <c r="AA47" s="133"/>
      <c r="AB47" s="133"/>
      <c r="AC47" s="133"/>
      <c r="AD47" s="130"/>
      <c r="AE47" s="130"/>
      <c r="AF47" s="130"/>
      <c r="AG47" s="130"/>
      <c r="AH47" s="130"/>
      <c r="AI47" s="130"/>
      <c r="AJ47" s="130"/>
      <c r="AK47" s="130"/>
      <c r="AL47" s="130"/>
      <c r="AM47" s="130"/>
      <c r="AN47" s="130"/>
    </row>
    <row r="48">
      <c r="A48" s="198" t="s">
        <v>151</v>
      </c>
      <c r="B48" s="197"/>
      <c r="C48" s="132"/>
      <c r="D48" s="133"/>
      <c r="E48" s="133"/>
      <c r="F48" s="133"/>
      <c r="G48" s="133"/>
      <c r="H48" s="130"/>
      <c r="I48" s="133"/>
      <c r="J48" s="133"/>
      <c r="L48" s="130"/>
      <c r="M48" s="133"/>
      <c r="N48" s="133"/>
      <c r="O48" s="133"/>
      <c r="Q48" s="133"/>
      <c r="R48" s="200"/>
      <c r="S48" s="133"/>
      <c r="T48" s="133"/>
      <c r="U48" s="133"/>
      <c r="V48" s="133">
        <v>14.0</v>
      </c>
      <c r="W48" s="133"/>
      <c r="X48" s="133"/>
      <c r="Y48" s="133"/>
      <c r="Z48" s="133"/>
      <c r="AA48" s="133"/>
      <c r="AB48" s="133"/>
      <c r="AC48" s="133"/>
      <c r="AD48" s="130"/>
      <c r="AE48" s="130"/>
      <c r="AF48" s="130"/>
      <c r="AG48" s="130"/>
      <c r="AH48" s="130"/>
      <c r="AI48" s="130"/>
      <c r="AJ48" s="130"/>
      <c r="AK48" s="130"/>
      <c r="AL48" s="130"/>
      <c r="AM48" s="130"/>
      <c r="AN48" s="130"/>
    </row>
    <row r="49">
      <c r="A49" s="198" t="s">
        <v>152</v>
      </c>
      <c r="B49" s="197"/>
      <c r="C49" s="132"/>
      <c r="D49" s="133"/>
      <c r="E49" s="133"/>
      <c r="F49" s="133"/>
      <c r="G49" s="133"/>
      <c r="H49" s="130"/>
      <c r="I49" s="133"/>
      <c r="J49" s="133"/>
      <c r="L49" s="130"/>
      <c r="M49" s="133"/>
      <c r="N49" s="133"/>
      <c r="O49" s="133"/>
      <c r="Q49" s="133"/>
      <c r="R49" s="200"/>
      <c r="S49" s="133"/>
      <c r="T49" s="133"/>
      <c r="U49" s="133"/>
      <c r="V49" s="133">
        <v>10.0</v>
      </c>
      <c r="W49" s="133"/>
      <c r="X49" s="133"/>
      <c r="Y49" s="133"/>
      <c r="Z49" s="133"/>
      <c r="AA49" s="133"/>
      <c r="AB49" s="133"/>
      <c r="AC49" s="133"/>
      <c r="AD49" s="130"/>
      <c r="AE49" s="130"/>
      <c r="AF49" s="130"/>
      <c r="AG49" s="130"/>
      <c r="AH49" s="130"/>
      <c r="AI49" s="130"/>
      <c r="AJ49" s="130"/>
      <c r="AK49" s="130"/>
      <c r="AL49" s="130"/>
      <c r="AM49" s="130"/>
      <c r="AN49" s="130"/>
    </row>
    <row r="50">
      <c r="A50" s="198" t="s">
        <v>153</v>
      </c>
      <c r="B50" s="197"/>
      <c r="C50" s="132"/>
      <c r="D50" s="133"/>
      <c r="E50" s="133"/>
      <c r="F50" s="133"/>
      <c r="G50" s="133"/>
      <c r="H50" s="130"/>
      <c r="I50" s="133"/>
      <c r="J50" s="133"/>
      <c r="L50" s="130"/>
      <c r="M50" s="133"/>
      <c r="N50" s="133"/>
      <c r="O50" s="133"/>
      <c r="Q50" s="133"/>
      <c r="R50" s="200"/>
      <c r="S50" s="133"/>
      <c r="T50" s="133"/>
      <c r="U50" s="133"/>
      <c r="V50" s="133">
        <v>9.0</v>
      </c>
      <c r="W50" s="133"/>
      <c r="X50" s="133"/>
      <c r="Y50" s="133"/>
      <c r="Z50" s="133"/>
      <c r="AA50" s="133"/>
      <c r="AB50" s="133"/>
      <c r="AC50" s="133"/>
      <c r="AD50" s="130"/>
      <c r="AE50" s="130"/>
      <c r="AF50" s="130"/>
      <c r="AG50" s="130"/>
      <c r="AH50" s="130"/>
      <c r="AI50" s="130"/>
      <c r="AJ50" s="130"/>
      <c r="AK50" s="130"/>
      <c r="AL50" s="130"/>
      <c r="AM50" s="130"/>
      <c r="AN50" s="130"/>
    </row>
    <row r="51">
      <c r="U51" s="133"/>
      <c r="V51" s="133"/>
      <c r="W51" s="133"/>
    </row>
    <row r="52" hidden="1">
      <c r="A52" s="131"/>
      <c r="B52" s="132"/>
      <c r="C52" s="133"/>
      <c r="D52" s="130"/>
      <c r="E52" s="130"/>
      <c r="F52" s="130"/>
      <c r="G52" s="130"/>
      <c r="H52" s="130"/>
      <c r="I52" s="130"/>
      <c r="J52" s="130"/>
      <c r="K52" s="130"/>
      <c r="L52" s="130"/>
      <c r="M52" s="130"/>
      <c r="N52" s="130"/>
      <c r="O52" s="130"/>
      <c r="P52" s="130"/>
      <c r="Q52" s="133"/>
      <c r="R52" s="133"/>
      <c r="S52" s="133"/>
      <c r="T52" s="133"/>
      <c r="U52" s="133"/>
      <c r="V52" s="133"/>
      <c r="W52" s="133"/>
      <c r="X52" s="133"/>
      <c r="Y52" s="133"/>
      <c r="Z52" s="133"/>
      <c r="AA52" s="133"/>
      <c r="AB52" s="133"/>
      <c r="AC52" s="133"/>
      <c r="AD52" s="130"/>
      <c r="AE52" s="130"/>
      <c r="AF52" s="130"/>
      <c r="AG52" s="130"/>
      <c r="AH52" s="130"/>
      <c r="AI52" s="130"/>
      <c r="AJ52" s="130"/>
      <c r="AK52" s="130"/>
      <c r="AL52" s="130"/>
      <c r="AM52" s="130"/>
      <c r="AN52" s="130"/>
    </row>
    <row r="53" hidden="1">
      <c r="A53" s="131"/>
      <c r="B53" s="132"/>
      <c r="C53" s="133"/>
      <c r="D53" s="130"/>
      <c r="E53" s="130"/>
      <c r="F53" s="130"/>
      <c r="G53" s="130"/>
      <c r="H53" s="130"/>
      <c r="I53" s="130"/>
      <c r="J53" s="130"/>
      <c r="K53" s="130"/>
      <c r="L53" s="130"/>
      <c r="M53" s="130"/>
      <c r="N53" s="130"/>
      <c r="O53" s="130"/>
      <c r="P53" s="130"/>
      <c r="Q53" s="133"/>
      <c r="R53" s="133"/>
      <c r="S53" s="133"/>
      <c r="T53" s="133"/>
      <c r="U53" s="133"/>
      <c r="V53" s="133"/>
      <c r="W53" s="133"/>
      <c r="X53" s="133"/>
      <c r="Y53" s="133"/>
      <c r="Z53" s="133"/>
      <c r="AA53" s="133"/>
      <c r="AB53" s="133"/>
      <c r="AC53" s="133"/>
      <c r="AD53" s="130"/>
      <c r="AE53" s="130"/>
      <c r="AF53" s="130"/>
      <c r="AG53" s="130"/>
      <c r="AH53" s="130"/>
      <c r="AI53" s="130"/>
      <c r="AJ53" s="130"/>
      <c r="AK53" s="130"/>
      <c r="AL53" s="130"/>
      <c r="AM53" s="130"/>
      <c r="AN53" s="130"/>
    </row>
    <row r="54" hidden="1">
      <c r="A54" s="131"/>
      <c r="B54" s="136"/>
      <c r="C54" s="130"/>
      <c r="D54" s="130"/>
      <c r="E54" s="130"/>
      <c r="F54" s="130"/>
      <c r="G54" s="130"/>
      <c r="H54" s="130"/>
      <c r="I54" s="130"/>
      <c r="J54" s="130"/>
      <c r="K54" s="130"/>
      <c r="L54" s="130"/>
      <c r="M54" s="130"/>
      <c r="N54" s="130"/>
      <c r="O54" s="130"/>
      <c r="P54" s="130"/>
      <c r="Q54" s="133"/>
      <c r="R54" s="133"/>
      <c r="S54" s="133"/>
      <c r="T54" s="133"/>
      <c r="U54" s="133"/>
      <c r="V54" s="133"/>
      <c r="W54" s="133"/>
      <c r="X54" s="133"/>
      <c r="Y54" s="133"/>
      <c r="Z54" s="133"/>
      <c r="AA54" s="133"/>
      <c r="AB54" s="133"/>
      <c r="AC54" s="133"/>
      <c r="AD54" s="130"/>
      <c r="AE54" s="130"/>
      <c r="AF54" s="130"/>
      <c r="AG54" s="130"/>
      <c r="AH54" s="130"/>
      <c r="AI54" s="130"/>
      <c r="AJ54" s="130"/>
      <c r="AK54" s="130"/>
      <c r="AL54" s="130"/>
      <c r="AM54" s="130"/>
      <c r="AN54" s="130"/>
    </row>
    <row r="55" hidden="1">
      <c r="A55" s="131"/>
      <c r="B55" s="136"/>
      <c r="C55" s="130"/>
      <c r="D55" s="130"/>
      <c r="E55" s="130"/>
      <c r="F55" s="130"/>
      <c r="G55" s="130"/>
      <c r="H55" s="130"/>
      <c r="I55" s="130"/>
      <c r="J55" s="130"/>
      <c r="K55" s="130"/>
      <c r="L55" s="130"/>
      <c r="M55" s="130"/>
      <c r="N55" s="130"/>
      <c r="O55" s="130"/>
      <c r="P55" s="130"/>
      <c r="Q55" s="133"/>
      <c r="R55" s="133"/>
      <c r="S55" s="133"/>
      <c r="T55" s="133"/>
      <c r="U55" s="133"/>
      <c r="V55" s="133"/>
      <c r="W55" s="133"/>
      <c r="X55" s="133"/>
      <c r="Y55" s="133"/>
      <c r="Z55" s="133"/>
      <c r="AA55" s="133"/>
      <c r="AB55" s="133"/>
      <c r="AC55" s="133"/>
      <c r="AD55" s="130"/>
      <c r="AE55" s="130"/>
      <c r="AF55" s="130"/>
      <c r="AG55" s="130"/>
      <c r="AH55" s="130"/>
      <c r="AI55" s="130"/>
      <c r="AJ55" s="130"/>
      <c r="AK55" s="130"/>
      <c r="AL55" s="130"/>
      <c r="AM55" s="130"/>
      <c r="AN55" s="130"/>
    </row>
    <row r="56" hidden="1">
      <c r="A56" s="131"/>
      <c r="B56" s="132"/>
      <c r="C56" s="130"/>
      <c r="D56" s="130"/>
      <c r="E56" s="130"/>
      <c r="F56" s="130"/>
      <c r="G56" s="130"/>
      <c r="H56" s="130"/>
      <c r="I56" s="130"/>
      <c r="J56" s="130"/>
      <c r="K56" s="130"/>
      <c r="L56" s="130"/>
      <c r="M56" s="130"/>
      <c r="N56" s="130"/>
      <c r="O56" s="130"/>
      <c r="P56" s="130"/>
      <c r="Q56" s="133"/>
      <c r="R56" s="133"/>
      <c r="S56" s="133"/>
      <c r="T56" s="133"/>
      <c r="U56" s="133"/>
      <c r="V56" s="133"/>
      <c r="W56" s="133"/>
      <c r="X56" s="133"/>
      <c r="Y56" s="133"/>
      <c r="Z56" s="133"/>
      <c r="AA56" s="133"/>
      <c r="AB56" s="133"/>
      <c r="AC56" s="133"/>
      <c r="AD56" s="130"/>
      <c r="AE56" s="130"/>
      <c r="AF56" s="130"/>
      <c r="AG56" s="130"/>
      <c r="AH56" s="130"/>
      <c r="AI56" s="130"/>
      <c r="AJ56" s="130"/>
      <c r="AK56" s="130"/>
      <c r="AL56" s="130"/>
      <c r="AM56" s="130"/>
      <c r="AN56" s="130"/>
    </row>
    <row r="57">
      <c r="A57" s="126" t="s">
        <v>46</v>
      </c>
      <c r="B57" s="127"/>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30"/>
      <c r="AF57" s="130"/>
      <c r="AG57" s="130"/>
      <c r="AH57" s="130"/>
      <c r="AI57" s="130"/>
      <c r="AJ57" s="130"/>
      <c r="AK57" s="130"/>
      <c r="AL57" s="130"/>
      <c r="AM57" s="130"/>
      <c r="AN57" s="130"/>
    </row>
    <row r="58">
      <c r="A58" s="196" t="s">
        <v>143</v>
      </c>
      <c r="B58" s="201">
        <v>20.0</v>
      </c>
      <c r="C58" s="133">
        <v>36.0</v>
      </c>
      <c r="D58" s="133">
        <v>12.0</v>
      </c>
      <c r="E58" s="133">
        <v>10.0</v>
      </c>
      <c r="F58" s="133">
        <v>12.0</v>
      </c>
      <c r="G58" s="133">
        <v>40.0</v>
      </c>
      <c r="H58" s="133"/>
      <c r="I58" s="133">
        <v>20.0</v>
      </c>
      <c r="J58" s="133">
        <v>25.0</v>
      </c>
      <c r="K58" s="133"/>
      <c r="L58" s="133"/>
      <c r="M58" s="133">
        <v>5.0</v>
      </c>
      <c r="N58" s="133">
        <v>1.0</v>
      </c>
      <c r="O58" s="133">
        <v>4.0</v>
      </c>
      <c r="P58" s="133">
        <v>50.0</v>
      </c>
      <c r="Q58" s="133">
        <v>0.0</v>
      </c>
      <c r="R58" s="133">
        <v>23.0</v>
      </c>
      <c r="S58" s="133">
        <v>1.0</v>
      </c>
      <c r="T58" s="133">
        <v>5.0</v>
      </c>
      <c r="U58" s="133">
        <v>3.0</v>
      </c>
      <c r="V58" s="133"/>
      <c r="W58" s="133"/>
      <c r="X58" s="133"/>
      <c r="Y58" s="133"/>
      <c r="Z58" s="133"/>
      <c r="AA58" s="133"/>
      <c r="AB58" s="133"/>
      <c r="AC58" s="130"/>
      <c r="AD58" s="130"/>
      <c r="AE58" s="130"/>
      <c r="AF58" s="130"/>
      <c r="AG58" s="130"/>
      <c r="AH58" s="130"/>
      <c r="AI58" s="130"/>
      <c r="AJ58" s="130"/>
      <c r="AK58" s="130"/>
      <c r="AL58" s="130"/>
      <c r="AM58" s="130"/>
      <c r="AN58" s="130"/>
    </row>
    <row r="59">
      <c r="A59" s="198" t="s">
        <v>144</v>
      </c>
      <c r="B59" s="201"/>
      <c r="C59" s="133"/>
      <c r="D59" s="133"/>
      <c r="E59" s="133"/>
      <c r="F59" s="133"/>
      <c r="G59" s="133"/>
      <c r="H59" s="133"/>
      <c r="I59" s="133"/>
      <c r="J59" s="133"/>
      <c r="K59" s="133"/>
      <c r="L59" s="133"/>
      <c r="M59" s="133"/>
      <c r="N59" s="133"/>
      <c r="O59" s="133"/>
      <c r="P59" s="133">
        <v>4.0</v>
      </c>
      <c r="Q59" s="133">
        <v>13.0</v>
      </c>
      <c r="R59" s="133">
        <v>14.0</v>
      </c>
      <c r="S59" s="133">
        <v>0.0</v>
      </c>
      <c r="T59" s="199">
        <v>20.0</v>
      </c>
      <c r="U59" s="133">
        <v>27.0</v>
      </c>
      <c r="V59" s="133"/>
      <c r="W59" s="133"/>
      <c r="X59" s="133"/>
      <c r="Y59" s="133"/>
      <c r="Z59" s="133"/>
      <c r="AA59" s="133"/>
      <c r="AB59" s="133"/>
      <c r="AC59" s="130"/>
      <c r="AD59" s="130"/>
      <c r="AE59" s="130"/>
      <c r="AF59" s="130"/>
      <c r="AG59" s="130"/>
      <c r="AH59" s="130"/>
      <c r="AI59" s="130"/>
      <c r="AJ59" s="130"/>
      <c r="AK59" s="130"/>
      <c r="AL59" s="130"/>
      <c r="AM59" s="130"/>
      <c r="AN59" s="130"/>
    </row>
    <row r="60">
      <c r="A60" s="196" t="s">
        <v>145</v>
      </c>
      <c r="B60" s="201">
        <v>34.0</v>
      </c>
      <c r="C60" s="133">
        <v>24.0</v>
      </c>
      <c r="D60" s="133">
        <v>32.0</v>
      </c>
      <c r="E60" s="133">
        <v>43.0</v>
      </c>
      <c r="F60" s="133">
        <v>45.0</v>
      </c>
      <c r="G60" s="133">
        <v>36.0</v>
      </c>
      <c r="H60" s="133"/>
      <c r="I60" s="133">
        <v>5.0</v>
      </c>
      <c r="J60" s="133">
        <v>38.0</v>
      </c>
      <c r="K60" s="133"/>
      <c r="L60" s="133"/>
      <c r="M60" s="133">
        <v>24.0</v>
      </c>
      <c r="N60" s="133">
        <v>3.0</v>
      </c>
      <c r="O60" s="133">
        <v>10.0</v>
      </c>
      <c r="P60" s="133">
        <v>35.0</v>
      </c>
      <c r="Q60" s="133">
        <v>34.0</v>
      </c>
      <c r="R60" s="133">
        <v>17.0</v>
      </c>
      <c r="S60" s="133">
        <v>19.0</v>
      </c>
      <c r="T60" s="133">
        <v>36.0</v>
      </c>
      <c r="U60" s="133">
        <v>33.0</v>
      </c>
      <c r="V60" s="133"/>
      <c r="W60" s="133"/>
      <c r="X60" s="133"/>
      <c r="Y60" s="133"/>
      <c r="Z60" s="133"/>
      <c r="AA60" s="133"/>
      <c r="AB60" s="133"/>
      <c r="AC60" s="130"/>
      <c r="AD60" s="130"/>
      <c r="AE60" s="130"/>
      <c r="AF60" s="130"/>
      <c r="AG60" s="130"/>
      <c r="AH60" s="130"/>
      <c r="AI60" s="130"/>
      <c r="AJ60" s="130"/>
      <c r="AK60" s="130"/>
      <c r="AL60" s="130"/>
      <c r="AM60" s="130"/>
      <c r="AN60" s="130"/>
    </row>
    <row r="61">
      <c r="A61" s="196" t="s">
        <v>146</v>
      </c>
      <c r="B61" s="201">
        <v>24.0</v>
      </c>
      <c r="C61" s="133">
        <v>33.0</v>
      </c>
      <c r="D61" s="133">
        <v>37.0</v>
      </c>
      <c r="E61" s="133">
        <v>16.0</v>
      </c>
      <c r="F61" s="133">
        <v>36.0</v>
      </c>
      <c r="G61" s="133">
        <v>16.0</v>
      </c>
      <c r="H61" s="133"/>
      <c r="I61" s="133">
        <v>1.0</v>
      </c>
      <c r="J61" s="133">
        <v>32.0</v>
      </c>
      <c r="K61" s="133"/>
      <c r="L61" s="133"/>
      <c r="M61" s="133">
        <v>13.0</v>
      </c>
      <c r="N61" s="133">
        <v>16.0</v>
      </c>
      <c r="O61" s="133">
        <v>13.0</v>
      </c>
      <c r="P61" s="133">
        <v>18.0</v>
      </c>
      <c r="Q61" s="133">
        <v>5.0</v>
      </c>
      <c r="R61" s="133">
        <v>7.0</v>
      </c>
      <c r="S61" s="133">
        <v>12.0</v>
      </c>
      <c r="T61" s="133">
        <v>10.0</v>
      </c>
      <c r="U61" s="133">
        <v>14.0</v>
      </c>
      <c r="V61" s="133"/>
      <c r="W61" s="133"/>
      <c r="X61" s="133"/>
      <c r="Y61" s="133"/>
      <c r="Z61" s="133"/>
      <c r="AA61" s="133"/>
      <c r="AB61" s="133"/>
      <c r="AC61" s="130"/>
      <c r="AD61" s="130"/>
      <c r="AE61" s="130"/>
      <c r="AF61" s="130"/>
      <c r="AG61" s="130"/>
      <c r="AH61" s="130"/>
      <c r="AI61" s="130"/>
      <c r="AJ61" s="130"/>
      <c r="AK61" s="130"/>
      <c r="AL61" s="130"/>
      <c r="AM61" s="130"/>
      <c r="AN61" s="130"/>
    </row>
    <row r="62">
      <c r="A62" s="196" t="s">
        <v>147</v>
      </c>
      <c r="B62" s="201">
        <v>19.0</v>
      </c>
      <c r="C62" s="133">
        <v>47.0</v>
      </c>
      <c r="D62" s="133">
        <v>29.0</v>
      </c>
      <c r="E62" s="133">
        <v>22.0</v>
      </c>
      <c r="F62" s="133">
        <v>25.0</v>
      </c>
      <c r="G62" s="133">
        <v>14.0</v>
      </c>
      <c r="H62" s="133"/>
      <c r="I62" s="133">
        <v>0.0</v>
      </c>
      <c r="J62" s="133">
        <v>29.0</v>
      </c>
      <c r="K62" s="130"/>
      <c r="L62" s="130"/>
      <c r="M62" s="133">
        <v>21.0</v>
      </c>
      <c r="N62" s="133">
        <v>5.0</v>
      </c>
      <c r="O62" s="133">
        <v>33.0</v>
      </c>
      <c r="P62" s="133">
        <v>10.0</v>
      </c>
      <c r="Q62" s="133">
        <v>21.0</v>
      </c>
      <c r="R62" s="133">
        <v>11.0</v>
      </c>
      <c r="S62" s="133">
        <v>13.0</v>
      </c>
      <c r="T62" s="133">
        <v>18.0</v>
      </c>
      <c r="U62" s="133">
        <v>18.0</v>
      </c>
      <c r="V62" s="133"/>
      <c r="W62" s="133"/>
      <c r="X62" s="130"/>
      <c r="Y62" s="130"/>
      <c r="Z62" s="130"/>
      <c r="AA62" s="130"/>
      <c r="AB62" s="130"/>
      <c r="AC62" s="130"/>
      <c r="AD62" s="130"/>
      <c r="AE62" s="130"/>
      <c r="AF62" s="130"/>
      <c r="AG62" s="130"/>
      <c r="AH62" s="130"/>
      <c r="AI62" s="130"/>
      <c r="AJ62" s="130"/>
      <c r="AK62" s="130"/>
      <c r="AL62" s="130"/>
      <c r="AM62" s="130"/>
      <c r="AN62" s="130"/>
    </row>
    <row r="63">
      <c r="A63" s="196" t="s">
        <v>148</v>
      </c>
      <c r="B63" s="201">
        <v>13.0</v>
      </c>
      <c r="C63" s="133">
        <v>13.0</v>
      </c>
      <c r="D63" s="133">
        <v>22.0</v>
      </c>
      <c r="E63" s="199">
        <v>26.0</v>
      </c>
      <c r="F63" s="133">
        <v>16.0</v>
      </c>
      <c r="G63" s="133">
        <v>97.0</v>
      </c>
      <c r="H63" s="133"/>
      <c r="I63" s="133">
        <v>12.0</v>
      </c>
      <c r="J63" s="133">
        <v>37.0</v>
      </c>
      <c r="K63" s="133"/>
      <c r="L63" s="133"/>
      <c r="M63" s="133">
        <v>20.0</v>
      </c>
      <c r="N63" s="133">
        <v>15.0</v>
      </c>
      <c r="O63" s="133">
        <v>9.0</v>
      </c>
      <c r="P63" s="133">
        <v>20.0</v>
      </c>
      <c r="Q63" s="133">
        <v>17.0</v>
      </c>
      <c r="R63" s="200" t="s">
        <v>59</v>
      </c>
      <c r="S63" s="133">
        <v>13.0</v>
      </c>
      <c r="T63" s="133">
        <v>4.0</v>
      </c>
      <c r="U63" s="133">
        <v>16.0</v>
      </c>
      <c r="V63" s="133"/>
      <c r="W63" s="133"/>
      <c r="X63" s="130"/>
      <c r="Y63" s="130"/>
      <c r="Z63" s="130"/>
      <c r="AA63" s="130"/>
      <c r="AB63" s="130"/>
      <c r="AC63" s="130"/>
      <c r="AD63" s="130"/>
      <c r="AE63" s="130"/>
      <c r="AF63" s="130"/>
      <c r="AG63" s="130"/>
      <c r="AH63" s="130"/>
      <c r="AI63" s="130"/>
      <c r="AJ63" s="130"/>
      <c r="AK63" s="130"/>
      <c r="AL63" s="130"/>
      <c r="AM63" s="130"/>
      <c r="AN63" s="130"/>
    </row>
    <row r="64">
      <c r="A64" s="198" t="s">
        <v>150</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0"/>
      <c r="AD64" s="130"/>
      <c r="AE64" s="130"/>
      <c r="AF64" s="130"/>
      <c r="AG64" s="130"/>
      <c r="AH64" s="130"/>
      <c r="AI64" s="130"/>
      <c r="AJ64" s="130"/>
      <c r="AK64" s="130"/>
      <c r="AL64" s="130"/>
      <c r="AM64" s="130"/>
      <c r="AN64" s="130"/>
    </row>
    <row r="65">
      <c r="A65" s="198" t="s">
        <v>151</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0"/>
      <c r="AD65" s="130"/>
      <c r="AE65" s="130"/>
      <c r="AF65" s="130"/>
      <c r="AG65" s="130"/>
      <c r="AH65" s="130"/>
      <c r="AI65" s="130"/>
      <c r="AJ65" s="130"/>
      <c r="AK65" s="130"/>
      <c r="AL65" s="130"/>
      <c r="AM65" s="130"/>
      <c r="AN65" s="130"/>
    </row>
    <row r="66">
      <c r="A66" s="198" t="s">
        <v>152</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0"/>
      <c r="AD66" s="130"/>
      <c r="AE66" s="130"/>
      <c r="AF66" s="130"/>
      <c r="AG66" s="130"/>
      <c r="AH66" s="130"/>
      <c r="AI66" s="130"/>
      <c r="AJ66" s="130"/>
      <c r="AK66" s="130"/>
      <c r="AL66" s="130"/>
      <c r="AM66" s="130"/>
      <c r="AN66" s="130"/>
    </row>
    <row r="67">
      <c r="A67" s="198" t="s">
        <v>153</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0"/>
      <c r="AD67" s="130"/>
      <c r="AE67" s="130"/>
      <c r="AF67" s="130"/>
      <c r="AG67" s="130"/>
      <c r="AH67" s="130"/>
      <c r="AI67" s="130"/>
      <c r="AJ67" s="130"/>
      <c r="AK67" s="130"/>
      <c r="AL67" s="130"/>
      <c r="AM67" s="130"/>
      <c r="AN67" s="130"/>
    </row>
    <row r="68">
      <c r="A68" s="131"/>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0"/>
      <c r="AD68" s="130"/>
      <c r="AE68" s="130"/>
      <c r="AF68" s="130"/>
      <c r="AG68" s="130"/>
      <c r="AH68" s="130"/>
      <c r="AI68" s="130"/>
      <c r="AJ68" s="130"/>
      <c r="AK68" s="130"/>
      <c r="AL68" s="130"/>
      <c r="AM68" s="130"/>
      <c r="AN68" s="130"/>
    </row>
    <row r="69">
      <c r="A69" s="202" t="s">
        <v>154</v>
      </c>
      <c r="B69" s="203">
        <v>-1.0</v>
      </c>
      <c r="C69" s="204">
        <v>1.0</v>
      </c>
      <c r="D69" s="204">
        <v>1.0</v>
      </c>
      <c r="E69" s="204">
        <v>1.0</v>
      </c>
      <c r="F69" s="204">
        <v>0.0</v>
      </c>
      <c r="G69" s="204"/>
      <c r="H69" s="204">
        <v>0.0</v>
      </c>
      <c r="I69" s="204"/>
      <c r="J69" s="204">
        <v>1.0</v>
      </c>
      <c r="K69" s="204"/>
      <c r="L69" s="204"/>
      <c r="M69" s="204" t="s">
        <v>59</v>
      </c>
      <c r="N69" s="204">
        <v>1.0</v>
      </c>
      <c r="O69" s="204">
        <v>0.0</v>
      </c>
      <c r="P69" s="204">
        <v>1.0</v>
      </c>
      <c r="Q69" s="204">
        <v>0.0</v>
      </c>
      <c r="R69" s="204">
        <v>1.0</v>
      </c>
      <c r="S69" s="204">
        <v>0.0</v>
      </c>
      <c r="T69" s="204">
        <v>0.0</v>
      </c>
      <c r="U69" s="204">
        <v>-1.0</v>
      </c>
      <c r="V69" s="133"/>
      <c r="W69" s="133"/>
      <c r="X69" s="133"/>
      <c r="Y69" s="133"/>
      <c r="Z69" s="133"/>
      <c r="AA69" s="133"/>
      <c r="AB69" s="133"/>
      <c r="AC69" s="130"/>
      <c r="AD69" s="130"/>
      <c r="AE69" s="130"/>
      <c r="AF69" s="130"/>
      <c r="AG69" s="130"/>
      <c r="AH69" s="130"/>
      <c r="AI69" s="130"/>
      <c r="AJ69" s="130"/>
      <c r="AK69" s="130"/>
      <c r="AL69" s="130"/>
      <c r="AM69" s="130"/>
      <c r="AN69" s="130"/>
    </row>
    <row r="70">
      <c r="A70" s="202" t="s">
        <v>155</v>
      </c>
      <c r="B70" s="203">
        <v>0.0</v>
      </c>
      <c r="C70" s="204">
        <v>1.0</v>
      </c>
      <c r="D70" s="204">
        <v>1.0</v>
      </c>
      <c r="E70" s="204">
        <v>0.0</v>
      </c>
      <c r="F70" s="204">
        <v>0.0</v>
      </c>
      <c r="G70" s="204"/>
      <c r="H70" s="204">
        <v>0.0</v>
      </c>
      <c r="I70" s="204"/>
      <c r="J70" s="204">
        <v>1.0</v>
      </c>
      <c r="K70" s="204"/>
      <c r="L70" s="204"/>
      <c r="M70" s="204">
        <v>1.0</v>
      </c>
      <c r="N70" s="204">
        <v>0.0</v>
      </c>
      <c r="O70" s="204">
        <v>0.0</v>
      </c>
      <c r="P70" s="204">
        <v>0.0</v>
      </c>
      <c r="Q70" s="204">
        <v>0.0</v>
      </c>
      <c r="R70" s="204">
        <v>1.0</v>
      </c>
      <c r="S70" s="204">
        <v>0.0</v>
      </c>
      <c r="T70" s="204">
        <v>0.0</v>
      </c>
      <c r="U70" s="204">
        <v>-1.0</v>
      </c>
      <c r="V70" s="133"/>
      <c r="W70" s="133"/>
      <c r="X70" s="133"/>
      <c r="Y70" s="133"/>
      <c r="Z70" s="133"/>
      <c r="AA70" s="133"/>
      <c r="AB70" s="133"/>
      <c r="AC70" s="130"/>
      <c r="AD70" s="130"/>
      <c r="AE70" s="130"/>
      <c r="AF70" s="130"/>
      <c r="AG70" s="130"/>
      <c r="AH70" s="130"/>
      <c r="AI70" s="130"/>
      <c r="AJ70" s="130"/>
      <c r="AK70" s="130"/>
      <c r="AL70" s="130"/>
      <c r="AM70" s="130"/>
      <c r="AN70" s="130"/>
    </row>
    <row r="71">
      <c r="A71" s="202" t="s">
        <v>156</v>
      </c>
      <c r="B71" s="205"/>
      <c r="C71" s="205"/>
      <c r="D71" s="205"/>
      <c r="E71" s="205"/>
      <c r="F71" s="205"/>
      <c r="G71" s="205"/>
      <c r="H71" s="205"/>
      <c r="I71" s="205"/>
      <c r="J71" s="205"/>
      <c r="K71" s="205"/>
      <c r="L71" s="205"/>
      <c r="M71" s="205"/>
      <c r="N71" s="205"/>
      <c r="O71" s="205"/>
      <c r="P71" s="205"/>
      <c r="Q71" s="205"/>
      <c r="R71" s="205"/>
      <c r="S71" s="205"/>
      <c r="T71" s="205"/>
      <c r="U71" s="205"/>
      <c r="V71" s="133"/>
      <c r="W71" s="133"/>
      <c r="X71" s="133"/>
      <c r="Y71" s="133"/>
      <c r="Z71" s="133"/>
      <c r="AA71" s="133"/>
      <c r="AB71" s="133"/>
      <c r="AC71" s="130"/>
      <c r="AD71" s="130"/>
      <c r="AE71" s="130"/>
      <c r="AF71" s="130"/>
      <c r="AG71" s="130"/>
      <c r="AH71" s="130"/>
      <c r="AI71" s="130"/>
      <c r="AJ71" s="130"/>
      <c r="AK71" s="130"/>
      <c r="AL71" s="130"/>
      <c r="AM71" s="130"/>
      <c r="AN71" s="130"/>
    </row>
    <row r="72">
      <c r="A72" s="202" t="s">
        <v>157</v>
      </c>
      <c r="B72" s="203">
        <v>0.0</v>
      </c>
      <c r="C72" s="204">
        <v>1.0</v>
      </c>
      <c r="D72" s="204">
        <v>1.0</v>
      </c>
      <c r="E72" s="204">
        <v>1.0</v>
      </c>
      <c r="F72" s="204">
        <v>1.0</v>
      </c>
      <c r="G72" s="204"/>
      <c r="H72" s="204">
        <v>0.0</v>
      </c>
      <c r="I72" s="204"/>
      <c r="J72" s="204">
        <v>1.0</v>
      </c>
      <c r="K72" s="204"/>
      <c r="L72" s="204"/>
      <c r="M72" s="204">
        <v>0.0</v>
      </c>
      <c r="N72" s="204">
        <v>1.0</v>
      </c>
      <c r="O72" s="204">
        <v>1.0</v>
      </c>
      <c r="P72" s="204">
        <v>0.0</v>
      </c>
      <c r="Q72" s="204">
        <v>0.0</v>
      </c>
      <c r="R72" s="204">
        <v>1.0</v>
      </c>
      <c r="S72" s="204">
        <v>1.0</v>
      </c>
      <c r="T72" s="204">
        <v>0.0</v>
      </c>
      <c r="U72" s="204">
        <v>0.0</v>
      </c>
      <c r="V72" s="133"/>
      <c r="W72" s="133"/>
      <c r="X72" s="133"/>
      <c r="Y72" s="133"/>
      <c r="Z72" s="133"/>
      <c r="AA72" s="133"/>
      <c r="AB72" s="133"/>
      <c r="AC72" s="130"/>
      <c r="AD72" s="130"/>
      <c r="AE72" s="130"/>
      <c r="AF72" s="130"/>
      <c r="AG72" s="130"/>
      <c r="AH72" s="130"/>
      <c r="AI72" s="130"/>
      <c r="AJ72" s="130"/>
      <c r="AK72" s="130"/>
      <c r="AL72" s="130"/>
      <c r="AM72" s="130"/>
      <c r="AN72" s="130"/>
    </row>
    <row r="73">
      <c r="A73" s="131"/>
      <c r="B73" s="137"/>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0"/>
      <c r="AD73" s="130"/>
      <c r="AE73" s="130"/>
      <c r="AF73" s="130"/>
      <c r="AG73" s="130"/>
      <c r="AH73" s="130"/>
      <c r="AI73" s="130"/>
      <c r="AJ73" s="130"/>
      <c r="AK73" s="130"/>
      <c r="AL73" s="130"/>
      <c r="AM73" s="130"/>
      <c r="AN73" s="130"/>
    </row>
    <row r="74">
      <c r="B74" s="138"/>
      <c r="U74" s="133"/>
      <c r="V74" s="133"/>
      <c r="W74" s="133"/>
    </row>
    <row r="75">
      <c r="B75" s="138"/>
      <c r="U75" s="133"/>
      <c r="V75" s="133"/>
      <c r="W75" s="133"/>
    </row>
    <row r="76">
      <c r="B76" s="138"/>
      <c r="U76" s="133"/>
      <c r="V76" s="133"/>
      <c r="W76" s="133"/>
    </row>
    <row r="77">
      <c r="B77" s="138"/>
      <c r="U77" s="133"/>
      <c r="V77" s="133"/>
      <c r="W77" s="133"/>
    </row>
    <row r="78">
      <c r="B78" s="138"/>
      <c r="U78" s="133"/>
      <c r="V78" s="133"/>
      <c r="W78" s="133"/>
    </row>
    <row r="79">
      <c r="B79" s="138"/>
      <c r="U79" s="133"/>
      <c r="V79" s="133"/>
      <c r="W79" s="133"/>
    </row>
    <row r="80">
      <c r="B80" s="138"/>
      <c r="U80" s="133"/>
      <c r="V80" s="133"/>
      <c r="W80" s="133"/>
    </row>
    <row r="81">
      <c r="B81" s="138"/>
      <c r="U81" s="133"/>
      <c r="V81" s="133"/>
      <c r="W81" s="133"/>
    </row>
    <row r="82">
      <c r="B82" s="138"/>
      <c r="U82" s="133"/>
      <c r="V82" s="133"/>
      <c r="W82" s="133"/>
    </row>
    <row r="83">
      <c r="B83" s="138"/>
      <c r="U83" s="133"/>
      <c r="V83" s="133"/>
      <c r="W83" s="133"/>
    </row>
    <row r="84">
      <c r="B84" s="138"/>
      <c r="U84" s="133"/>
      <c r="V84" s="133"/>
      <c r="W84" s="133"/>
    </row>
    <row r="85">
      <c r="B85" s="138"/>
      <c r="U85" s="133"/>
      <c r="V85" s="133"/>
      <c r="W85" s="133"/>
    </row>
    <row r="86">
      <c r="B86" s="138"/>
      <c r="U86" s="133"/>
      <c r="V86" s="133"/>
      <c r="W86" s="133"/>
    </row>
    <row r="87">
      <c r="B87" s="138"/>
      <c r="U87" s="133"/>
      <c r="V87" s="133"/>
      <c r="W87" s="133"/>
    </row>
    <row r="88">
      <c r="B88" s="138"/>
      <c r="U88" s="133"/>
      <c r="V88" s="133"/>
      <c r="W88" s="133"/>
    </row>
    <row r="89">
      <c r="B89" s="138"/>
      <c r="U89" s="133"/>
      <c r="V89" s="133"/>
      <c r="W89" s="133"/>
    </row>
    <row r="90">
      <c r="B90" s="138"/>
      <c r="U90" s="133"/>
      <c r="V90" s="133"/>
      <c r="W90" s="133"/>
    </row>
    <row r="91">
      <c r="B91" s="138"/>
      <c r="U91" s="133"/>
      <c r="V91" s="133"/>
      <c r="W91" s="133"/>
    </row>
    <row r="92">
      <c r="B92" s="138"/>
      <c r="U92" s="133"/>
      <c r="V92" s="133"/>
      <c r="W92" s="133"/>
    </row>
    <row r="93">
      <c r="B93" s="138"/>
      <c r="U93" s="133"/>
      <c r="V93" s="133"/>
      <c r="W93" s="133"/>
    </row>
    <row r="94">
      <c r="B94" s="138"/>
      <c r="U94" s="133"/>
      <c r="V94" s="133"/>
      <c r="W94" s="133"/>
    </row>
    <row r="95">
      <c r="B95" s="138"/>
      <c r="U95" s="133"/>
      <c r="V95" s="133"/>
      <c r="W95" s="133"/>
    </row>
    <row r="96">
      <c r="B96" s="138"/>
      <c r="U96" s="133"/>
      <c r="V96" s="133"/>
      <c r="W96" s="133"/>
    </row>
    <row r="97">
      <c r="B97" s="138"/>
      <c r="U97" s="133"/>
      <c r="V97" s="133"/>
      <c r="W97" s="133"/>
    </row>
    <row r="98">
      <c r="B98" s="138"/>
      <c r="U98" s="133"/>
      <c r="V98" s="133"/>
      <c r="W98" s="133"/>
    </row>
    <row r="99">
      <c r="B99" s="138"/>
      <c r="U99" s="133"/>
      <c r="V99" s="133"/>
      <c r="W99" s="133"/>
    </row>
    <row r="100">
      <c r="B100" s="138"/>
      <c r="U100" s="133"/>
      <c r="V100" s="133"/>
      <c r="W100" s="133"/>
    </row>
    <row r="101">
      <c r="B101" s="138"/>
      <c r="U101" s="133"/>
      <c r="V101" s="133"/>
      <c r="W101" s="133"/>
    </row>
    <row r="102">
      <c r="B102" s="138"/>
      <c r="U102" s="133"/>
      <c r="V102" s="133"/>
      <c r="W102" s="133"/>
    </row>
    <row r="103">
      <c r="B103" s="138"/>
      <c r="U103" s="133"/>
      <c r="V103" s="133"/>
      <c r="W103" s="133"/>
    </row>
    <row r="104">
      <c r="B104" s="138"/>
      <c r="U104" s="133"/>
      <c r="V104" s="133"/>
      <c r="W104" s="133"/>
    </row>
    <row r="105">
      <c r="B105" s="138"/>
      <c r="U105" s="133"/>
      <c r="V105" s="133"/>
      <c r="W105" s="133"/>
    </row>
    <row r="106">
      <c r="B106" s="138"/>
      <c r="U106" s="133"/>
      <c r="V106" s="133"/>
      <c r="W106" s="133"/>
    </row>
    <row r="107">
      <c r="B107" s="138"/>
      <c r="U107" s="133"/>
      <c r="V107" s="133"/>
      <c r="W107" s="133"/>
    </row>
    <row r="108">
      <c r="B108" s="138"/>
      <c r="U108" s="133"/>
      <c r="V108" s="133"/>
      <c r="W108" s="133"/>
    </row>
    <row r="109">
      <c r="B109" s="138"/>
      <c r="U109" s="133"/>
      <c r="V109" s="133"/>
      <c r="W109" s="133"/>
    </row>
    <row r="110">
      <c r="B110" s="138"/>
      <c r="U110" s="133"/>
      <c r="V110" s="133"/>
      <c r="W110" s="133"/>
    </row>
    <row r="111">
      <c r="B111" s="138"/>
      <c r="U111" s="133"/>
      <c r="V111" s="133"/>
      <c r="W111" s="133"/>
    </row>
    <row r="112">
      <c r="B112" s="138"/>
      <c r="U112" s="133"/>
      <c r="V112" s="133"/>
      <c r="W112" s="133"/>
    </row>
    <row r="113">
      <c r="B113" s="138"/>
      <c r="U113" s="133"/>
      <c r="V113" s="133"/>
      <c r="W113" s="133"/>
    </row>
    <row r="114">
      <c r="B114" s="138"/>
      <c r="U114" s="133"/>
      <c r="V114" s="133"/>
      <c r="W114" s="133"/>
    </row>
    <row r="115">
      <c r="B115" s="138"/>
      <c r="U115" s="133"/>
      <c r="V115" s="133"/>
      <c r="W115" s="133"/>
    </row>
    <row r="116">
      <c r="B116" s="138"/>
      <c r="U116" s="133"/>
      <c r="V116" s="133"/>
      <c r="W116" s="133"/>
    </row>
    <row r="117">
      <c r="B117" s="138"/>
      <c r="U117" s="133"/>
      <c r="V117" s="133"/>
      <c r="W117" s="133"/>
    </row>
    <row r="118">
      <c r="B118" s="138"/>
      <c r="U118" s="133"/>
      <c r="V118" s="133"/>
      <c r="W118" s="133"/>
    </row>
    <row r="119">
      <c r="B119" s="138"/>
      <c r="U119" s="133"/>
      <c r="V119" s="133"/>
      <c r="W119" s="133"/>
    </row>
    <row r="120">
      <c r="B120" s="138"/>
      <c r="U120" s="133"/>
      <c r="V120" s="133"/>
      <c r="W120" s="133"/>
    </row>
    <row r="121">
      <c r="B121" s="138"/>
      <c r="U121" s="133"/>
      <c r="V121" s="133"/>
      <c r="W121" s="133"/>
    </row>
    <row r="122">
      <c r="B122" s="138"/>
      <c r="U122" s="133"/>
      <c r="V122" s="133"/>
      <c r="W122" s="133"/>
    </row>
    <row r="123">
      <c r="B123" s="138"/>
      <c r="U123" s="133"/>
      <c r="V123" s="133"/>
      <c r="W123" s="133"/>
    </row>
    <row r="124">
      <c r="B124" s="138"/>
      <c r="U124" s="133"/>
      <c r="V124" s="133"/>
      <c r="W124" s="133"/>
    </row>
    <row r="125">
      <c r="B125" s="138"/>
      <c r="U125" s="133"/>
      <c r="V125" s="133"/>
      <c r="W125" s="133"/>
    </row>
    <row r="126">
      <c r="B126" s="138"/>
      <c r="U126" s="133"/>
      <c r="V126" s="133"/>
      <c r="W126" s="133"/>
    </row>
    <row r="127">
      <c r="B127" s="138"/>
      <c r="U127" s="133"/>
      <c r="V127" s="133"/>
      <c r="W127" s="133"/>
    </row>
    <row r="128">
      <c r="B128" s="138"/>
      <c r="U128" s="133"/>
      <c r="V128" s="133"/>
      <c r="W128" s="133"/>
    </row>
    <row r="129">
      <c r="B129" s="138"/>
      <c r="U129" s="133"/>
      <c r="V129" s="133"/>
      <c r="W129" s="133"/>
    </row>
    <row r="130">
      <c r="B130" s="138"/>
      <c r="U130" s="133"/>
      <c r="V130" s="133"/>
      <c r="W130" s="133"/>
    </row>
    <row r="131">
      <c r="B131" s="138"/>
      <c r="U131" s="133"/>
      <c r="V131" s="133"/>
      <c r="W131" s="133"/>
    </row>
    <row r="132">
      <c r="B132" s="138"/>
      <c r="U132" s="133"/>
      <c r="V132" s="133"/>
      <c r="W132" s="133"/>
    </row>
    <row r="133">
      <c r="B133" s="138"/>
      <c r="U133" s="133"/>
      <c r="V133" s="133"/>
      <c r="W133" s="133"/>
    </row>
    <row r="134">
      <c r="B134" s="138"/>
      <c r="U134" s="133"/>
      <c r="V134" s="133"/>
      <c r="W134" s="133"/>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row r="947">
      <c r="B947" s="138"/>
      <c r="U947" s="31"/>
    </row>
    <row r="948">
      <c r="B948" s="138"/>
      <c r="U948" s="31"/>
    </row>
    <row r="949">
      <c r="B949" s="138"/>
      <c r="U949" s="31"/>
    </row>
    <row r="950">
      <c r="B950" s="138"/>
      <c r="U950" s="31"/>
    </row>
    <row r="951">
      <c r="B951" s="138"/>
      <c r="U951" s="31"/>
    </row>
    <row r="952">
      <c r="B952" s="138"/>
      <c r="U952" s="31"/>
    </row>
    <row r="953">
      <c r="B953" s="138"/>
      <c r="U953" s="31"/>
    </row>
    <row r="954">
      <c r="B954" s="138"/>
      <c r="U954" s="31"/>
    </row>
    <row r="955">
      <c r="B955" s="138"/>
      <c r="U955" s="31"/>
    </row>
    <row r="956">
      <c r="B956" s="138"/>
      <c r="U956" s="31"/>
    </row>
    <row r="957">
      <c r="B957" s="138"/>
      <c r="U957" s="31"/>
    </row>
    <row r="958">
      <c r="B958" s="138"/>
      <c r="U958" s="31"/>
    </row>
    <row r="959">
      <c r="B959" s="138"/>
      <c r="U959" s="31"/>
    </row>
    <row r="960">
      <c r="B960" s="138"/>
      <c r="U960" s="31"/>
    </row>
    <row r="961">
      <c r="B961" s="138"/>
      <c r="U961" s="31"/>
    </row>
  </sheetData>
  <mergeCells count="16">
    <mergeCell ref="H3:I3"/>
    <mergeCell ref="J3:L3"/>
    <mergeCell ref="M3:N3"/>
    <mergeCell ref="O3:P3"/>
    <mergeCell ref="Q3:R3"/>
    <mergeCell ref="S3:U3"/>
    <mergeCell ref="V3:W3"/>
    <mergeCell ref="X3:Z3"/>
    <mergeCell ref="B2:G2"/>
    <mergeCell ref="H2:N2"/>
    <mergeCell ref="O2:U2"/>
    <mergeCell ref="V2:AB2"/>
    <mergeCell ref="B3:C3"/>
    <mergeCell ref="D3:E3"/>
    <mergeCell ref="F3:G3"/>
    <mergeCell ref="AA3:AB3"/>
  </mergeCells>
  <dataValidations>
    <dataValidation type="list" allowBlank="1" showErrorMessage="1" sqref="B26:AB26 B34:AB34">
      <formula1>"0%,100%"</formula1>
    </dataValidation>
  </dataValidation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36.5"/>
    <col customWidth="1" min="2" max="2" width="14.75"/>
    <col customWidth="1" min="3" max="3" width="14.5"/>
    <col customWidth="1" min="5" max="5" width="14.0"/>
    <col customWidth="1" min="28" max="28" width="13.5"/>
  </cols>
  <sheetData>
    <row r="1" ht="30.0" customHeight="1">
      <c r="A1" s="1" t="s">
        <v>158</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c r="AN2" s="12"/>
    </row>
    <row r="3">
      <c r="A3" s="6" t="s">
        <v>6</v>
      </c>
      <c r="B3" s="13" t="s">
        <v>7</v>
      </c>
      <c r="C3" s="14"/>
      <c r="D3" s="15" t="s">
        <v>8</v>
      </c>
      <c r="E3" s="9"/>
      <c r="F3" s="10" t="s">
        <v>9</v>
      </c>
      <c r="G3" s="9"/>
      <c r="H3" s="15" t="s">
        <v>10</v>
      </c>
      <c r="I3" s="9"/>
      <c r="J3" s="10" t="s">
        <v>11</v>
      </c>
      <c r="K3" s="8"/>
      <c r="L3" s="9"/>
      <c r="M3" s="16" t="s">
        <v>12</v>
      </c>
      <c r="N3" s="9"/>
      <c r="O3" s="10" t="s">
        <v>13</v>
      </c>
      <c r="P3" s="9"/>
      <c r="Q3" s="15" t="s">
        <v>14</v>
      </c>
      <c r="R3" s="9"/>
      <c r="S3" s="10" t="s">
        <v>15</v>
      </c>
      <c r="T3" s="9"/>
      <c r="U3" s="17" t="s">
        <v>16</v>
      </c>
      <c r="V3" s="9"/>
      <c r="W3" s="10" t="s">
        <v>17</v>
      </c>
      <c r="X3" s="8"/>
      <c r="Y3" s="9"/>
      <c r="Z3" s="16" t="s">
        <v>18</v>
      </c>
      <c r="AA3" s="9"/>
      <c r="AB3" s="12"/>
      <c r="AC3" s="12"/>
      <c r="AD3" s="12"/>
      <c r="AE3" s="12"/>
      <c r="AF3" s="12"/>
      <c r="AG3" s="12"/>
      <c r="AH3" s="12"/>
      <c r="AI3" s="12"/>
      <c r="AJ3" s="12"/>
      <c r="AK3" s="12"/>
      <c r="AL3" s="12"/>
      <c r="AM3" s="12"/>
      <c r="AN3" s="12"/>
    </row>
    <row r="4">
      <c r="A4" s="6" t="s">
        <v>19</v>
      </c>
      <c r="B4" s="18" t="s">
        <v>159</v>
      </c>
      <c r="C4" s="18" t="s">
        <v>160</v>
      </c>
      <c r="D4" s="18" t="s">
        <v>161</v>
      </c>
      <c r="E4" s="18" t="s">
        <v>162</v>
      </c>
      <c r="F4" s="18" t="s">
        <v>163</v>
      </c>
      <c r="G4" s="18" t="s">
        <v>164</v>
      </c>
      <c r="H4" s="206" t="s">
        <v>165</v>
      </c>
      <c r="I4" s="206" t="s">
        <v>166</v>
      </c>
      <c r="J4" s="206" t="s">
        <v>167</v>
      </c>
      <c r="K4" s="206" t="s">
        <v>168</v>
      </c>
      <c r="L4" s="206" t="s">
        <v>169</v>
      </c>
      <c r="M4" s="206" t="s">
        <v>170</v>
      </c>
      <c r="N4" s="206" t="s">
        <v>171</v>
      </c>
      <c r="O4" s="206" t="s">
        <v>172</v>
      </c>
      <c r="P4" s="206" t="s">
        <v>173</v>
      </c>
      <c r="Q4" s="206" t="s">
        <v>174</v>
      </c>
      <c r="R4" s="206" t="s">
        <v>175</v>
      </c>
      <c r="S4" s="206" t="s">
        <v>176</v>
      </c>
      <c r="T4" s="206" t="s">
        <v>177</v>
      </c>
      <c r="U4" s="207"/>
      <c r="V4" s="208"/>
      <c r="W4" s="208"/>
      <c r="X4" s="208"/>
      <c r="Y4" s="208"/>
      <c r="Z4" s="208"/>
      <c r="AA4" s="209"/>
      <c r="AB4" s="210"/>
      <c r="AC4" s="210"/>
      <c r="AD4" s="210"/>
      <c r="AE4" s="210"/>
      <c r="AF4" s="210"/>
      <c r="AG4" s="210"/>
      <c r="AH4" s="210"/>
      <c r="AI4" s="210"/>
      <c r="AJ4" s="210"/>
      <c r="AK4" s="210"/>
      <c r="AL4" s="210"/>
      <c r="AM4" s="210"/>
      <c r="AN4" s="210"/>
    </row>
    <row r="5">
      <c r="A5" s="22" t="s">
        <v>20</v>
      </c>
      <c r="B5" s="23" t="s">
        <v>178</v>
      </c>
      <c r="C5" s="23" t="s">
        <v>179</v>
      </c>
      <c r="D5" s="23" t="s">
        <v>180</v>
      </c>
      <c r="E5" s="23" t="s">
        <v>181</v>
      </c>
      <c r="F5" s="23" t="s">
        <v>182</v>
      </c>
      <c r="G5" s="23" t="s">
        <v>183</v>
      </c>
      <c r="H5" s="23" t="s">
        <v>184</v>
      </c>
      <c r="I5" s="23" t="s">
        <v>185</v>
      </c>
      <c r="J5" s="23" t="s">
        <v>186</v>
      </c>
      <c r="K5" s="23" t="s">
        <v>187</v>
      </c>
      <c r="L5" s="23" t="s">
        <v>188</v>
      </c>
      <c r="M5" s="23" t="s">
        <v>189</v>
      </c>
      <c r="N5" s="23" t="s">
        <v>190</v>
      </c>
      <c r="O5" s="23" t="s">
        <v>191</v>
      </c>
      <c r="P5" s="23" t="s">
        <v>192</v>
      </c>
      <c r="Q5" s="23" t="s">
        <v>193</v>
      </c>
      <c r="R5" s="23" t="s">
        <v>194</v>
      </c>
      <c r="S5" s="211" t="s">
        <v>195</v>
      </c>
      <c r="T5" s="211" t="s">
        <v>196</v>
      </c>
      <c r="U5" s="212"/>
      <c r="V5" s="213"/>
      <c r="W5" s="18"/>
      <c r="X5" s="18"/>
      <c r="Y5" s="18"/>
      <c r="Z5" s="213"/>
      <c r="AA5" s="213"/>
      <c r="AB5" s="214"/>
      <c r="AC5" s="215"/>
      <c r="AD5" s="215"/>
      <c r="AE5" s="215"/>
      <c r="AF5" s="215"/>
      <c r="AG5" s="215"/>
      <c r="AH5" s="215"/>
      <c r="AI5" s="215"/>
      <c r="AJ5" s="215"/>
      <c r="AK5" s="215"/>
      <c r="AL5" s="215"/>
      <c r="AM5" s="215"/>
      <c r="AN5" s="215"/>
    </row>
    <row r="6">
      <c r="A6" s="29"/>
      <c r="B6" s="30"/>
      <c r="S6" s="216"/>
      <c r="T6" s="216"/>
      <c r="U6" s="217"/>
      <c r="V6" s="216"/>
      <c r="W6" s="216"/>
      <c r="X6" s="216"/>
      <c r="Y6" s="216"/>
      <c r="Z6" s="216"/>
      <c r="AA6" s="216"/>
      <c r="AB6" s="216"/>
      <c r="AC6" s="216"/>
      <c r="AD6" s="216"/>
      <c r="AE6" s="216"/>
      <c r="AF6" s="216"/>
      <c r="AG6" s="216"/>
      <c r="AH6" s="216"/>
      <c r="AI6" s="216"/>
      <c r="AJ6" s="216"/>
      <c r="AK6" s="216"/>
      <c r="AL6" s="216"/>
      <c r="AM6" s="216"/>
      <c r="AN6" s="216"/>
    </row>
    <row r="7">
      <c r="A7" s="32" t="s">
        <v>21</v>
      </c>
      <c r="B7" s="33">
        <f t="shared" ref="B7:L7" si="1"> B8 + B9</f>
        <v>147</v>
      </c>
      <c r="C7" s="33">
        <f t="shared" si="1"/>
        <v>145</v>
      </c>
      <c r="D7" s="33">
        <f t="shared" si="1"/>
        <v>173</v>
      </c>
      <c r="E7" s="33">
        <f t="shared" si="1"/>
        <v>165</v>
      </c>
      <c r="F7" s="33">
        <f t="shared" si="1"/>
        <v>154</v>
      </c>
      <c r="G7" s="33">
        <f t="shared" si="1"/>
        <v>159</v>
      </c>
      <c r="H7" s="33">
        <f t="shared" si="1"/>
        <v>170</v>
      </c>
      <c r="I7" s="33">
        <f t="shared" si="1"/>
        <v>136</v>
      </c>
      <c r="J7" s="33">
        <f t="shared" si="1"/>
        <v>155</v>
      </c>
      <c r="K7" s="33">
        <f t="shared" si="1"/>
        <v>150</v>
      </c>
      <c r="L7" s="33">
        <f t="shared" si="1"/>
        <v>151</v>
      </c>
      <c r="M7" s="34">
        <v>150.0</v>
      </c>
      <c r="N7" s="34">
        <v>162.0</v>
      </c>
      <c r="O7" s="34">
        <v>129.0</v>
      </c>
      <c r="P7" s="34">
        <v>143.0</v>
      </c>
      <c r="Q7" s="35">
        <v>100.0</v>
      </c>
      <c r="R7" s="218">
        <v>140.0</v>
      </c>
      <c r="S7" s="34">
        <v>113.0</v>
      </c>
      <c r="T7" s="35">
        <v>167.0</v>
      </c>
      <c r="U7" s="36"/>
      <c r="V7" s="34"/>
      <c r="W7" s="34"/>
      <c r="X7" s="34"/>
      <c r="Y7" s="34"/>
      <c r="Z7" s="34"/>
      <c r="AA7" s="34"/>
      <c r="AB7" s="216"/>
      <c r="AC7" s="216"/>
      <c r="AD7" s="216"/>
      <c r="AE7" s="216"/>
      <c r="AF7" s="216"/>
      <c r="AG7" s="216"/>
      <c r="AH7" s="216"/>
      <c r="AI7" s="216"/>
      <c r="AJ7" s="216"/>
      <c r="AK7" s="216"/>
      <c r="AL7" s="216"/>
      <c r="AM7" s="216"/>
      <c r="AN7" s="216"/>
    </row>
    <row r="8">
      <c r="A8" s="37" t="s">
        <v>22</v>
      </c>
      <c r="B8" s="38">
        <f t="shared" ref="B8:K8" si="2"> B36</f>
        <v>124</v>
      </c>
      <c r="C8" s="38">
        <f t="shared" si="2"/>
        <v>144</v>
      </c>
      <c r="D8" s="38">
        <f t="shared" si="2"/>
        <v>168</v>
      </c>
      <c r="E8" s="38">
        <f t="shared" si="2"/>
        <v>152</v>
      </c>
      <c r="F8" s="38">
        <f t="shared" si="2"/>
        <v>154</v>
      </c>
      <c r="G8" s="38">
        <f t="shared" si="2"/>
        <v>151</v>
      </c>
      <c r="H8" s="38">
        <f t="shared" si="2"/>
        <v>157</v>
      </c>
      <c r="I8" s="38">
        <f t="shared" si="2"/>
        <v>128</v>
      </c>
      <c r="J8" s="38">
        <f t="shared" si="2"/>
        <v>134</v>
      </c>
      <c r="K8" s="38">
        <f t="shared" si="2"/>
        <v>147</v>
      </c>
      <c r="L8" s="38">
        <v>145.0</v>
      </c>
      <c r="M8" s="39">
        <v>142.0</v>
      </c>
      <c r="N8" s="39">
        <f>37+34+40+42</f>
        <v>153</v>
      </c>
      <c r="O8" s="39">
        <v>123.0</v>
      </c>
      <c r="P8" s="39">
        <v>142.0</v>
      </c>
      <c r="Q8" s="39">
        <v>100.0</v>
      </c>
      <c r="R8" s="39">
        <v>139.0</v>
      </c>
      <c r="S8" s="39">
        <f>S36</f>
        <v>107</v>
      </c>
      <c r="T8" s="40">
        <v>132.0</v>
      </c>
      <c r="U8" s="41"/>
      <c r="V8" s="39"/>
      <c r="W8" s="39"/>
      <c r="X8" s="39"/>
      <c r="Y8" s="39"/>
      <c r="Z8" s="39"/>
      <c r="AA8" s="39"/>
      <c r="AB8" s="216"/>
      <c r="AC8" s="216"/>
      <c r="AD8" s="216"/>
      <c r="AE8" s="216"/>
      <c r="AF8" s="216"/>
      <c r="AG8" s="216"/>
      <c r="AH8" s="216"/>
      <c r="AI8" s="216"/>
      <c r="AJ8" s="216"/>
      <c r="AK8" s="216"/>
      <c r="AL8" s="216"/>
      <c r="AM8" s="216"/>
      <c r="AN8" s="216"/>
    </row>
    <row r="9">
      <c r="A9" s="37" t="s">
        <v>23</v>
      </c>
      <c r="B9" s="38">
        <v>23.0</v>
      </c>
      <c r="C9" s="39">
        <v>1.0</v>
      </c>
      <c r="D9" s="39">
        <v>5.0</v>
      </c>
      <c r="E9" s="39">
        <v>13.0</v>
      </c>
      <c r="F9" s="39">
        <v>0.0</v>
      </c>
      <c r="G9" s="39">
        <v>8.0</v>
      </c>
      <c r="H9" s="39">
        <v>13.0</v>
      </c>
      <c r="I9" s="39">
        <v>8.0</v>
      </c>
      <c r="J9" s="39">
        <v>21.0</v>
      </c>
      <c r="K9" s="39">
        <v>3.0</v>
      </c>
      <c r="L9" s="39">
        <v>6.0</v>
      </c>
      <c r="M9" s="39">
        <v>8.0</v>
      </c>
      <c r="N9" s="39">
        <v>9.0</v>
      </c>
      <c r="O9" s="39">
        <v>6.0</v>
      </c>
      <c r="P9" s="39">
        <v>1.0</v>
      </c>
      <c r="Q9" s="39">
        <v>0.0</v>
      </c>
      <c r="R9" s="39">
        <v>1.0</v>
      </c>
      <c r="S9" s="39">
        <v>6.0</v>
      </c>
      <c r="T9" s="40">
        <v>35.0</v>
      </c>
      <c r="U9" s="41"/>
      <c r="V9" s="41"/>
      <c r="W9" s="41"/>
      <c r="X9" s="41"/>
      <c r="Y9" s="41"/>
      <c r="Z9" s="41"/>
      <c r="AA9" s="41"/>
      <c r="AB9" s="216"/>
      <c r="AC9" s="216"/>
      <c r="AD9" s="216"/>
      <c r="AE9" s="216"/>
      <c r="AF9" s="216"/>
      <c r="AG9" s="216"/>
      <c r="AH9" s="216"/>
      <c r="AI9" s="216"/>
      <c r="AJ9" s="216"/>
      <c r="AK9" s="216"/>
      <c r="AL9" s="216"/>
      <c r="AM9" s="216"/>
      <c r="AN9" s="216"/>
    </row>
    <row r="10">
      <c r="A10" s="42" t="s">
        <v>24</v>
      </c>
      <c r="B10" s="43">
        <f t="shared" ref="B10:T10" si="3">B9/B8</f>
        <v>0.185483871</v>
      </c>
      <c r="C10" s="43">
        <f t="shared" si="3"/>
        <v>0.006944444444</v>
      </c>
      <c r="D10" s="43">
        <f t="shared" si="3"/>
        <v>0.02976190476</v>
      </c>
      <c r="E10" s="43">
        <f t="shared" si="3"/>
        <v>0.08552631579</v>
      </c>
      <c r="F10" s="43">
        <f t="shared" si="3"/>
        <v>0</v>
      </c>
      <c r="G10" s="43">
        <f t="shared" si="3"/>
        <v>0.05298013245</v>
      </c>
      <c r="H10" s="43">
        <f t="shared" si="3"/>
        <v>0.08280254777</v>
      </c>
      <c r="I10" s="43">
        <f t="shared" si="3"/>
        <v>0.0625</v>
      </c>
      <c r="J10" s="43">
        <f t="shared" si="3"/>
        <v>0.1567164179</v>
      </c>
      <c r="K10" s="43">
        <f t="shared" si="3"/>
        <v>0.02040816327</v>
      </c>
      <c r="L10" s="43">
        <f t="shared" si="3"/>
        <v>0.04137931034</v>
      </c>
      <c r="M10" s="43">
        <f t="shared" si="3"/>
        <v>0.05633802817</v>
      </c>
      <c r="N10" s="43">
        <f t="shared" si="3"/>
        <v>0.05882352941</v>
      </c>
      <c r="O10" s="43">
        <f t="shared" si="3"/>
        <v>0.0487804878</v>
      </c>
      <c r="P10" s="43">
        <f t="shared" si="3"/>
        <v>0.007042253521</v>
      </c>
      <c r="Q10" s="43">
        <f t="shared" si="3"/>
        <v>0</v>
      </c>
      <c r="R10" s="43">
        <f t="shared" si="3"/>
        <v>0.007194244604</v>
      </c>
      <c r="S10" s="43">
        <f t="shared" si="3"/>
        <v>0.05607476636</v>
      </c>
      <c r="T10" s="43">
        <f t="shared" si="3"/>
        <v>0.2651515152</v>
      </c>
      <c r="U10" s="45"/>
      <c r="V10" s="45"/>
      <c r="W10" s="45"/>
      <c r="X10" s="45"/>
      <c r="Y10" s="45"/>
      <c r="Z10" s="45"/>
      <c r="AA10" s="45"/>
      <c r="AB10" s="216"/>
      <c r="AC10" s="216"/>
      <c r="AD10" s="216"/>
      <c r="AE10" s="216"/>
      <c r="AF10" s="216"/>
      <c r="AG10" s="216"/>
      <c r="AH10" s="216"/>
      <c r="AI10" s="216"/>
      <c r="AJ10" s="216"/>
      <c r="AK10" s="216"/>
      <c r="AL10" s="216"/>
      <c r="AM10" s="216"/>
      <c r="AN10" s="216"/>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c r="AB11" s="216"/>
      <c r="AC11" s="216"/>
      <c r="AD11" s="216"/>
      <c r="AE11" s="216"/>
      <c r="AF11" s="216"/>
      <c r="AG11" s="216"/>
      <c r="AH11" s="216"/>
      <c r="AI11" s="216"/>
      <c r="AJ11" s="216"/>
      <c r="AK11" s="216"/>
      <c r="AL11" s="216"/>
      <c r="AM11" s="216"/>
      <c r="AN11" s="216"/>
    </row>
    <row r="12">
      <c r="A12" s="48" t="s">
        <v>25</v>
      </c>
      <c r="B12" s="49">
        <v>0.0</v>
      </c>
      <c r="C12" s="50">
        <v>0.0</v>
      </c>
      <c r="D12" s="50">
        <v>18.0</v>
      </c>
      <c r="E12" s="50">
        <v>18.0</v>
      </c>
      <c r="F12" s="50">
        <v>21.0</v>
      </c>
      <c r="G12" s="50">
        <v>20.0</v>
      </c>
      <c r="H12" s="50">
        <v>13.0</v>
      </c>
      <c r="I12" s="50">
        <v>17.0</v>
      </c>
      <c r="J12" s="50">
        <v>14.0</v>
      </c>
      <c r="K12" s="50">
        <v>20.0</v>
      </c>
      <c r="L12" s="50">
        <v>17.0</v>
      </c>
      <c r="M12" s="50">
        <v>20.0</v>
      </c>
      <c r="N12" s="50">
        <v>13.0</v>
      </c>
      <c r="O12" s="50">
        <v>7.0</v>
      </c>
      <c r="P12" s="50">
        <v>9.0</v>
      </c>
      <c r="Q12" s="50">
        <v>21.0</v>
      </c>
      <c r="R12" s="50">
        <v>0.0</v>
      </c>
      <c r="S12" s="50">
        <v>13.0</v>
      </c>
      <c r="T12" s="51">
        <v>49.0</v>
      </c>
      <c r="U12" s="52"/>
      <c r="V12" s="50"/>
      <c r="W12" s="50"/>
      <c r="X12" s="50"/>
      <c r="Y12" s="50"/>
      <c r="Z12" s="50"/>
      <c r="AA12" s="50"/>
      <c r="AB12" s="216"/>
      <c r="AC12" s="216"/>
      <c r="AD12" s="216"/>
      <c r="AE12" s="216"/>
      <c r="AF12" s="216"/>
      <c r="AG12" s="216"/>
      <c r="AH12" s="216"/>
      <c r="AI12" s="216"/>
      <c r="AJ12" s="216"/>
      <c r="AK12" s="216"/>
      <c r="AL12" s="216"/>
      <c r="AM12" s="216"/>
      <c r="AN12" s="216"/>
    </row>
    <row r="13">
      <c r="A13" s="53" t="s">
        <v>26</v>
      </c>
      <c r="B13" s="54">
        <v>0.0</v>
      </c>
      <c r="C13" s="55">
        <v>21.0</v>
      </c>
      <c r="D13" s="55">
        <v>13.0</v>
      </c>
      <c r="E13" s="55">
        <v>18.0</v>
      </c>
      <c r="F13" s="55">
        <v>26.0</v>
      </c>
      <c r="G13" s="55">
        <v>15.0</v>
      </c>
      <c r="H13" s="55">
        <v>13.0</v>
      </c>
      <c r="I13" s="55">
        <v>21.0</v>
      </c>
      <c r="J13" s="55">
        <v>14.0</v>
      </c>
      <c r="K13" s="55">
        <v>18.0</v>
      </c>
      <c r="L13" s="55">
        <v>11.0</v>
      </c>
      <c r="M13" s="55">
        <v>12.0</v>
      </c>
      <c r="N13" s="55">
        <v>5.0</v>
      </c>
      <c r="O13" s="55">
        <v>1.0</v>
      </c>
      <c r="P13" s="55">
        <v>9.0</v>
      </c>
      <c r="Q13" s="55">
        <v>21.0</v>
      </c>
      <c r="R13" s="55">
        <v>0.0</v>
      </c>
      <c r="S13" s="55">
        <v>13.0</v>
      </c>
      <c r="T13" s="56">
        <v>28.0</v>
      </c>
      <c r="U13" s="57"/>
      <c r="V13" s="55"/>
      <c r="W13" s="55"/>
      <c r="X13" s="55"/>
      <c r="Y13" s="55"/>
      <c r="Z13" s="55"/>
      <c r="AA13" s="55"/>
      <c r="AB13" s="216"/>
      <c r="AC13" s="216"/>
      <c r="AD13" s="216"/>
      <c r="AE13" s="216"/>
      <c r="AF13" s="216"/>
      <c r="AG13" s="216"/>
      <c r="AH13" s="216"/>
      <c r="AI13" s="216"/>
      <c r="AJ13" s="216"/>
      <c r="AK13" s="216"/>
      <c r="AL13" s="216"/>
      <c r="AM13" s="216"/>
      <c r="AN13" s="216"/>
    </row>
    <row r="14">
      <c r="A14" s="58" t="s">
        <v>27</v>
      </c>
      <c r="B14" s="59">
        <v>0.0</v>
      </c>
      <c r="C14" s="60">
        <v>0.0</v>
      </c>
      <c r="D14" s="60">
        <v>5.0</v>
      </c>
      <c r="E14" s="60">
        <v>13.0</v>
      </c>
      <c r="F14" s="60">
        <v>0.0</v>
      </c>
      <c r="G14" s="60">
        <v>5.0</v>
      </c>
      <c r="H14" s="60">
        <v>8.0</v>
      </c>
      <c r="I14" s="60">
        <v>8.0</v>
      </c>
      <c r="J14" s="60"/>
      <c r="K14" s="60">
        <v>2.0</v>
      </c>
      <c r="L14" s="60">
        <v>6.0</v>
      </c>
      <c r="M14" s="60">
        <v>8.0</v>
      </c>
      <c r="N14" s="60">
        <v>8.0</v>
      </c>
      <c r="O14" s="60">
        <v>6.0</v>
      </c>
      <c r="P14" s="60">
        <v>0.0</v>
      </c>
      <c r="Q14" s="60">
        <v>0.0</v>
      </c>
      <c r="R14" s="60">
        <v>0.0</v>
      </c>
      <c r="S14" s="60">
        <v>0.0</v>
      </c>
      <c r="T14" s="61">
        <v>21.0</v>
      </c>
      <c r="U14" s="62"/>
      <c r="V14" s="60"/>
      <c r="W14" s="60"/>
      <c r="X14" s="60"/>
      <c r="Y14" s="60"/>
      <c r="Z14" s="60"/>
      <c r="AA14" s="60"/>
      <c r="AB14" s="216"/>
      <c r="AC14" s="216"/>
      <c r="AD14" s="216"/>
      <c r="AE14" s="216"/>
      <c r="AF14" s="216"/>
      <c r="AG14" s="216"/>
      <c r="AH14" s="216"/>
      <c r="AI14" s="216"/>
      <c r="AJ14" s="216"/>
      <c r="AK14" s="216"/>
      <c r="AL14" s="216"/>
      <c r="AM14" s="216"/>
      <c r="AN14" s="216"/>
    </row>
    <row r="15">
      <c r="A15" s="56"/>
      <c r="B15" s="63"/>
      <c r="C15" s="56"/>
      <c r="D15" s="56"/>
      <c r="E15" s="56"/>
      <c r="F15" s="56"/>
      <c r="G15" s="56"/>
      <c r="H15" s="56"/>
      <c r="I15" s="56"/>
      <c r="J15" s="56"/>
      <c r="K15" s="56"/>
      <c r="L15" s="56"/>
      <c r="M15" s="56"/>
      <c r="N15" s="56"/>
      <c r="O15" s="56"/>
      <c r="P15" s="56"/>
      <c r="Q15" s="56"/>
      <c r="R15" s="56"/>
      <c r="S15" s="56"/>
      <c r="T15" s="56"/>
      <c r="U15" s="64"/>
      <c r="V15" s="56"/>
      <c r="W15" s="56"/>
      <c r="X15" s="56"/>
      <c r="Y15" s="56"/>
      <c r="Z15" s="56"/>
      <c r="AA15" s="56"/>
      <c r="AB15" s="216"/>
      <c r="AC15" s="216"/>
      <c r="AD15" s="216"/>
      <c r="AE15" s="216"/>
      <c r="AF15" s="216"/>
      <c r="AG15" s="216"/>
      <c r="AH15" s="216"/>
      <c r="AI15" s="216"/>
      <c r="AJ15" s="216"/>
      <c r="AK15" s="216"/>
      <c r="AL15" s="216"/>
      <c r="AM15" s="216"/>
      <c r="AN15" s="216"/>
    </row>
    <row r="16">
      <c r="A16" s="65" t="s">
        <v>28</v>
      </c>
      <c r="B16" s="66"/>
      <c r="C16" s="65"/>
      <c r="D16" s="65"/>
      <c r="E16" s="65"/>
      <c r="F16" s="65"/>
      <c r="G16" s="65"/>
      <c r="H16" s="65"/>
      <c r="I16" s="65"/>
      <c r="J16" s="65"/>
      <c r="K16" s="65"/>
      <c r="L16" s="65"/>
      <c r="M16" s="65"/>
      <c r="N16" s="65"/>
      <c r="O16" s="65"/>
      <c r="P16" s="65"/>
      <c r="Q16" s="65"/>
      <c r="R16" s="65"/>
      <c r="S16" s="65"/>
      <c r="T16" s="67"/>
      <c r="U16" s="68"/>
      <c r="V16" s="65"/>
      <c r="W16" s="65"/>
      <c r="X16" s="65"/>
      <c r="Y16" s="65"/>
      <c r="Z16" s="65"/>
      <c r="AA16" s="65"/>
      <c r="AB16" s="216"/>
      <c r="AC16" s="216"/>
      <c r="AD16" s="216"/>
      <c r="AE16" s="216"/>
      <c r="AF16" s="216"/>
      <c r="AG16" s="216"/>
      <c r="AH16" s="216"/>
      <c r="AI16" s="216"/>
      <c r="AJ16" s="216"/>
      <c r="AK16" s="216"/>
      <c r="AL16" s="216"/>
      <c r="AM16" s="216"/>
      <c r="AN16" s="216"/>
    </row>
    <row r="17">
      <c r="A17" s="65" t="s">
        <v>29</v>
      </c>
      <c r="B17" s="66"/>
      <c r="C17" s="65"/>
      <c r="D17" s="65"/>
      <c r="E17" s="65"/>
      <c r="F17" s="65"/>
      <c r="G17" s="65"/>
      <c r="H17" s="65"/>
      <c r="I17" s="65"/>
      <c r="J17" s="65"/>
      <c r="K17" s="65"/>
      <c r="L17" s="65"/>
      <c r="M17" s="65"/>
      <c r="N17" s="65"/>
      <c r="O17" s="65"/>
      <c r="P17" s="65"/>
      <c r="Q17" s="65"/>
      <c r="R17" s="65"/>
      <c r="S17" s="65"/>
      <c r="T17" s="67"/>
      <c r="U17" s="68"/>
      <c r="V17" s="65"/>
      <c r="W17" s="65"/>
      <c r="X17" s="65"/>
      <c r="Y17" s="65"/>
      <c r="Z17" s="65"/>
      <c r="AA17" s="65"/>
      <c r="AB17" s="216"/>
      <c r="AC17" s="216"/>
      <c r="AD17" s="216"/>
      <c r="AE17" s="216"/>
      <c r="AF17" s="216"/>
      <c r="AG17" s="216"/>
      <c r="AH17" s="216"/>
      <c r="AI17" s="216"/>
      <c r="AJ17" s="216"/>
      <c r="AK17" s="216"/>
      <c r="AL17" s="216"/>
      <c r="AM17" s="216"/>
      <c r="AN17" s="216"/>
    </row>
    <row r="18">
      <c r="A18" s="69" t="s">
        <v>30</v>
      </c>
      <c r="B18" s="70">
        <v>82.0</v>
      </c>
      <c r="C18" s="69">
        <v>65.0</v>
      </c>
      <c r="D18" s="69">
        <v>170.0</v>
      </c>
      <c r="E18" s="69">
        <v>44.0</v>
      </c>
      <c r="F18" s="69">
        <v>58.0</v>
      </c>
      <c r="G18" s="69">
        <v>31.0</v>
      </c>
      <c r="H18" s="69">
        <v>45.0</v>
      </c>
      <c r="I18" s="69">
        <v>37.0</v>
      </c>
      <c r="J18" s="69">
        <v>55.0</v>
      </c>
      <c r="K18" s="69">
        <v>39.0</v>
      </c>
      <c r="L18" s="69">
        <v>75.0</v>
      </c>
      <c r="M18" s="69">
        <v>35.0</v>
      </c>
      <c r="N18" s="69">
        <v>43.0</v>
      </c>
      <c r="O18" s="69">
        <v>60.0</v>
      </c>
      <c r="P18" s="69">
        <v>121.0</v>
      </c>
      <c r="Q18" s="69">
        <v>50.0</v>
      </c>
      <c r="R18" s="69">
        <v>39.0</v>
      </c>
      <c r="S18" s="69">
        <v>40.0</v>
      </c>
      <c r="T18" s="69">
        <v>50.0</v>
      </c>
      <c r="U18" s="71"/>
      <c r="V18" s="69"/>
      <c r="W18" s="69"/>
      <c r="X18" s="69"/>
      <c r="Y18" s="69"/>
      <c r="Z18" s="69"/>
      <c r="AA18" s="219"/>
      <c r="AB18" s="220"/>
      <c r="AC18" s="220"/>
      <c r="AD18" s="220"/>
      <c r="AE18" s="220"/>
      <c r="AF18" s="220"/>
      <c r="AG18" s="220"/>
      <c r="AH18" s="220"/>
      <c r="AI18" s="220"/>
      <c r="AJ18" s="220"/>
      <c r="AK18" s="220"/>
      <c r="AL18" s="220"/>
      <c r="AM18" s="220"/>
      <c r="AN18" s="220"/>
    </row>
    <row r="19">
      <c r="A19" s="74" t="s">
        <v>31</v>
      </c>
      <c r="B19" s="75">
        <f t="shared" ref="B19:J19" si="4">B42</f>
        <v>112</v>
      </c>
      <c r="C19" s="75">
        <f t="shared" si="4"/>
        <v>68</v>
      </c>
      <c r="D19" s="75">
        <f t="shared" si="4"/>
        <v>173</v>
      </c>
      <c r="E19" s="75">
        <f t="shared" si="4"/>
        <v>149</v>
      </c>
      <c r="F19" s="75">
        <f t="shared" si="4"/>
        <v>144</v>
      </c>
      <c r="G19" s="75">
        <f t="shared" si="4"/>
        <v>125</v>
      </c>
      <c r="H19" s="75">
        <f t="shared" si="4"/>
        <v>147</v>
      </c>
      <c r="I19" s="75">
        <f t="shared" si="4"/>
        <v>105</v>
      </c>
      <c r="J19" s="75">
        <f t="shared" si="4"/>
        <v>124</v>
      </c>
      <c r="K19" s="75">
        <v>77.0</v>
      </c>
      <c r="L19" s="75">
        <v>104.0</v>
      </c>
      <c r="M19" s="74">
        <v>123.0</v>
      </c>
      <c r="N19" s="74">
        <v>142.0</v>
      </c>
      <c r="O19" s="74">
        <v>113.0</v>
      </c>
      <c r="P19" s="74">
        <v>130.0</v>
      </c>
      <c r="Q19" s="74">
        <v>84.0</v>
      </c>
      <c r="R19" s="74">
        <f>R42</f>
        <v>123</v>
      </c>
      <c r="S19" s="74">
        <v>108.0</v>
      </c>
      <c r="T19" s="74">
        <v>86.0</v>
      </c>
      <c r="U19" s="76"/>
      <c r="V19" s="74"/>
      <c r="W19" s="74"/>
      <c r="X19" s="74"/>
      <c r="Y19" s="74"/>
      <c r="Z19" s="74"/>
      <c r="AA19" s="221"/>
      <c r="AB19" s="222"/>
      <c r="AC19" s="222"/>
      <c r="AD19" s="222"/>
      <c r="AE19" s="222"/>
      <c r="AF19" s="222"/>
      <c r="AG19" s="222"/>
      <c r="AH19" s="222"/>
      <c r="AI19" s="222"/>
      <c r="AJ19" s="222"/>
      <c r="AK19" s="222"/>
      <c r="AL19" s="222"/>
      <c r="AM19" s="222"/>
      <c r="AN19" s="222"/>
    </row>
    <row r="20">
      <c r="A20" s="69" t="s">
        <v>32</v>
      </c>
      <c r="B20" s="70">
        <v>82.0</v>
      </c>
      <c r="C20" s="69">
        <v>60.0</v>
      </c>
      <c r="D20" s="69">
        <v>165.0</v>
      </c>
      <c r="E20" s="69">
        <v>44.0</v>
      </c>
      <c r="F20" s="69">
        <v>58.0</v>
      </c>
      <c r="G20" s="69">
        <v>31.0</v>
      </c>
      <c r="H20" s="69">
        <v>45.0</v>
      </c>
      <c r="I20" s="69">
        <v>37.0</v>
      </c>
      <c r="J20" s="69">
        <v>47.0</v>
      </c>
      <c r="K20" s="69">
        <v>39.0</v>
      </c>
      <c r="L20" s="69">
        <v>41.0</v>
      </c>
      <c r="M20" s="69">
        <v>14.0</v>
      </c>
      <c r="N20" s="69">
        <v>43.0</v>
      </c>
      <c r="O20" s="69">
        <v>26.0</v>
      </c>
      <c r="P20" s="69">
        <v>121.0</v>
      </c>
      <c r="Q20" s="69">
        <v>50.0</v>
      </c>
      <c r="R20" s="69">
        <v>39.0</v>
      </c>
      <c r="S20" s="69">
        <v>40.0</v>
      </c>
      <c r="T20" s="69">
        <v>50.0</v>
      </c>
      <c r="U20" s="71"/>
      <c r="V20" s="69"/>
      <c r="W20" s="69"/>
      <c r="X20" s="69"/>
      <c r="Y20" s="69"/>
      <c r="Z20" s="69"/>
      <c r="AA20" s="219"/>
      <c r="AB20" s="220"/>
      <c r="AC20" s="220"/>
      <c r="AD20" s="220"/>
      <c r="AE20" s="220"/>
      <c r="AF20" s="220"/>
      <c r="AG20" s="220"/>
      <c r="AH20" s="220"/>
      <c r="AI20" s="220"/>
      <c r="AJ20" s="220"/>
      <c r="AK20" s="220"/>
      <c r="AL20" s="220"/>
      <c r="AM20" s="220"/>
      <c r="AN20" s="220"/>
    </row>
    <row r="21">
      <c r="A21" s="79" t="s">
        <v>33</v>
      </c>
      <c r="B21" s="80">
        <f t="shared" ref="B21:K21" si="5">B7-B19</f>
        <v>35</v>
      </c>
      <c r="C21" s="80">
        <f t="shared" si="5"/>
        <v>77</v>
      </c>
      <c r="D21" s="80">
        <f t="shared" si="5"/>
        <v>0</v>
      </c>
      <c r="E21" s="80">
        <f t="shared" si="5"/>
        <v>16</v>
      </c>
      <c r="F21" s="80">
        <f t="shared" si="5"/>
        <v>10</v>
      </c>
      <c r="G21" s="80">
        <f t="shared" si="5"/>
        <v>34</v>
      </c>
      <c r="H21" s="80">
        <f t="shared" si="5"/>
        <v>23</v>
      </c>
      <c r="I21" s="80">
        <f t="shared" si="5"/>
        <v>31</v>
      </c>
      <c r="J21" s="80">
        <f t="shared" si="5"/>
        <v>31</v>
      </c>
      <c r="K21" s="80">
        <f t="shared" si="5"/>
        <v>73</v>
      </c>
      <c r="L21" s="79">
        <v>47.0</v>
      </c>
      <c r="M21" s="79">
        <v>27.0</v>
      </c>
      <c r="N21" s="79">
        <f t="shared" ref="N21:T21" si="6">N7-N19</f>
        <v>20</v>
      </c>
      <c r="O21" s="79">
        <f t="shared" si="6"/>
        <v>16</v>
      </c>
      <c r="P21" s="79">
        <f t="shared" si="6"/>
        <v>13</v>
      </c>
      <c r="Q21" s="79">
        <f t="shared" si="6"/>
        <v>16</v>
      </c>
      <c r="R21" s="79">
        <f t="shared" si="6"/>
        <v>17</v>
      </c>
      <c r="S21" s="79">
        <f t="shared" si="6"/>
        <v>5</v>
      </c>
      <c r="T21" s="79">
        <f t="shared" si="6"/>
        <v>81</v>
      </c>
      <c r="U21" s="79"/>
      <c r="V21" s="79"/>
      <c r="W21" s="79"/>
      <c r="X21" s="79"/>
      <c r="Y21" s="79"/>
      <c r="Z21" s="79"/>
      <c r="AA21" s="79"/>
      <c r="AB21" s="216"/>
      <c r="AC21" s="216"/>
      <c r="AD21" s="216"/>
      <c r="AE21" s="216"/>
      <c r="AF21" s="216"/>
      <c r="AG21" s="216"/>
      <c r="AH21" s="216"/>
      <c r="AI21" s="216"/>
      <c r="AJ21" s="216"/>
      <c r="AK21" s="216"/>
      <c r="AL21" s="216"/>
      <c r="AM21" s="216"/>
      <c r="AN21" s="216"/>
    </row>
    <row r="22">
      <c r="A22" s="82" t="s">
        <v>34</v>
      </c>
      <c r="B22" s="83">
        <v>90.0</v>
      </c>
      <c r="C22" s="83">
        <v>84.0</v>
      </c>
      <c r="D22" s="85">
        <v>165.0</v>
      </c>
      <c r="E22" s="85">
        <v>45.0</v>
      </c>
      <c r="F22" s="85">
        <v>68.0</v>
      </c>
      <c r="G22" s="85">
        <v>57.0</v>
      </c>
      <c r="H22" s="85">
        <v>55.0</v>
      </c>
      <c r="I22" s="85">
        <v>60.0</v>
      </c>
      <c r="J22" s="85">
        <v>89.0</v>
      </c>
      <c r="K22" s="85">
        <v>78.0</v>
      </c>
      <c r="L22" s="85">
        <v>116.0</v>
      </c>
      <c r="M22" s="85">
        <v>56.0</v>
      </c>
      <c r="N22" s="85">
        <v>43.0</v>
      </c>
      <c r="O22" s="85">
        <v>76.0</v>
      </c>
      <c r="P22" s="85">
        <v>129.0</v>
      </c>
      <c r="Q22" s="85">
        <v>64.0</v>
      </c>
      <c r="R22" s="85">
        <v>52.0</v>
      </c>
      <c r="S22" s="85">
        <v>40.0</v>
      </c>
      <c r="T22" s="85">
        <v>59.0</v>
      </c>
      <c r="U22" s="86"/>
      <c r="V22" s="85"/>
      <c r="W22" s="85"/>
      <c r="X22" s="85"/>
      <c r="Y22" s="85"/>
      <c r="Z22" s="85"/>
      <c r="AA22" s="85"/>
      <c r="AB22" s="85"/>
      <c r="AC22" s="84"/>
      <c r="AD22" s="84"/>
      <c r="AE22" s="84"/>
      <c r="AF22" s="84"/>
      <c r="AG22" s="84"/>
      <c r="AH22" s="84"/>
      <c r="AI22" s="84"/>
      <c r="AJ22" s="84"/>
      <c r="AK22" s="84"/>
      <c r="AL22" s="84"/>
      <c r="AM22" s="223"/>
      <c r="AN22" s="84"/>
    </row>
    <row r="23" hidden="1">
      <c r="A23" s="90" t="s">
        <v>35</v>
      </c>
      <c r="B23" s="224" t="s">
        <v>197</v>
      </c>
      <c r="C23" s="225" t="s">
        <v>198</v>
      </c>
      <c r="D23" s="91"/>
      <c r="E23" s="92"/>
      <c r="F23" s="91"/>
      <c r="G23" s="91"/>
      <c r="H23" s="91"/>
      <c r="I23" s="91"/>
      <c r="J23" s="91"/>
      <c r="K23" s="91"/>
      <c r="L23" s="91"/>
      <c r="M23" s="91"/>
      <c r="N23" s="91"/>
      <c r="O23" s="91"/>
      <c r="P23" s="91"/>
      <c r="Q23" s="91"/>
      <c r="R23" s="91"/>
      <c r="S23" s="226"/>
      <c r="T23" s="226"/>
      <c r="U23" s="227"/>
      <c r="V23" s="226"/>
      <c r="W23" s="226"/>
      <c r="X23" s="226"/>
      <c r="Y23" s="226"/>
      <c r="Z23" s="226"/>
      <c r="AA23" s="226"/>
      <c r="AB23" s="228"/>
      <c r="AC23" s="229"/>
      <c r="AD23" s="229"/>
      <c r="AE23" s="229"/>
      <c r="AF23" s="229"/>
      <c r="AG23" s="229"/>
      <c r="AH23" s="229"/>
      <c r="AI23" s="229"/>
      <c r="AJ23" s="229"/>
      <c r="AK23" s="229"/>
      <c r="AL23" s="229"/>
      <c r="AM23" s="229"/>
      <c r="AN23" s="229"/>
    </row>
    <row r="24">
      <c r="A24" s="96" t="s">
        <v>36</v>
      </c>
      <c r="B24" s="97">
        <v>1.0</v>
      </c>
      <c r="C24" s="97">
        <v>1.0</v>
      </c>
      <c r="D24" s="97">
        <v>1.0</v>
      </c>
      <c r="E24" s="97">
        <v>1.0</v>
      </c>
      <c r="F24" s="97">
        <v>1.0</v>
      </c>
      <c r="G24" s="98">
        <v>0.0</v>
      </c>
      <c r="H24" s="97">
        <v>1.0</v>
      </c>
      <c r="I24" s="97">
        <v>1.0</v>
      </c>
      <c r="J24" s="97">
        <v>1.0</v>
      </c>
      <c r="K24" s="98">
        <v>0.0</v>
      </c>
      <c r="L24" s="97">
        <v>1.0</v>
      </c>
      <c r="M24" s="97">
        <v>1.0</v>
      </c>
      <c r="N24" s="97">
        <v>1.0</v>
      </c>
      <c r="O24" s="97">
        <v>1.0</v>
      </c>
      <c r="P24" s="97">
        <v>1.0</v>
      </c>
      <c r="Q24" s="97">
        <v>1.0</v>
      </c>
      <c r="R24" s="97">
        <v>1.0</v>
      </c>
      <c r="S24" s="97">
        <v>1.0</v>
      </c>
      <c r="T24" s="98">
        <v>0.0</v>
      </c>
      <c r="U24" s="98">
        <v>0.0</v>
      </c>
      <c r="V24" s="98">
        <v>0.0</v>
      </c>
      <c r="W24" s="98">
        <v>0.0</v>
      </c>
      <c r="X24" s="98">
        <v>0.0</v>
      </c>
      <c r="Y24" s="98">
        <v>0.0</v>
      </c>
      <c r="Z24" s="98">
        <v>0.0</v>
      </c>
      <c r="AA24" s="98">
        <v>0.0</v>
      </c>
      <c r="AB24" s="230"/>
      <c r="AC24" s="216"/>
      <c r="AD24" s="216"/>
      <c r="AE24" s="216"/>
      <c r="AF24" s="216"/>
      <c r="AG24" s="216"/>
      <c r="AH24" s="216"/>
      <c r="AI24" s="216"/>
      <c r="AJ24" s="216"/>
      <c r="AK24" s="216"/>
      <c r="AL24" s="216"/>
      <c r="AM24" s="216"/>
      <c r="AN24" s="216"/>
    </row>
    <row r="25">
      <c r="A25" s="101" t="s">
        <v>37</v>
      </c>
      <c r="B25" s="102">
        <f t="shared" ref="B25:T25" si="7">IFERROR(B19/B8, 0)</f>
        <v>0.9032258065</v>
      </c>
      <c r="C25" s="102">
        <f t="shared" si="7"/>
        <v>0.4722222222</v>
      </c>
      <c r="D25" s="102">
        <f t="shared" si="7"/>
        <v>1.029761905</v>
      </c>
      <c r="E25" s="102">
        <f t="shared" si="7"/>
        <v>0.9802631579</v>
      </c>
      <c r="F25" s="102">
        <f t="shared" si="7"/>
        <v>0.9350649351</v>
      </c>
      <c r="G25" s="102">
        <f t="shared" si="7"/>
        <v>0.8278145695</v>
      </c>
      <c r="H25" s="102">
        <f t="shared" si="7"/>
        <v>0.9363057325</v>
      </c>
      <c r="I25" s="102">
        <f t="shared" si="7"/>
        <v>0.8203125</v>
      </c>
      <c r="J25" s="102">
        <f t="shared" si="7"/>
        <v>0.9253731343</v>
      </c>
      <c r="K25" s="102">
        <f t="shared" si="7"/>
        <v>0.5238095238</v>
      </c>
      <c r="L25" s="102">
        <f t="shared" si="7"/>
        <v>0.7172413793</v>
      </c>
      <c r="M25" s="103">
        <f t="shared" si="7"/>
        <v>0.8661971831</v>
      </c>
      <c r="N25" s="102">
        <f t="shared" si="7"/>
        <v>0.9281045752</v>
      </c>
      <c r="O25" s="102">
        <f t="shared" si="7"/>
        <v>0.918699187</v>
      </c>
      <c r="P25" s="102">
        <f t="shared" si="7"/>
        <v>0.9154929577</v>
      </c>
      <c r="Q25" s="102">
        <f t="shared" si="7"/>
        <v>0.84</v>
      </c>
      <c r="R25" s="102">
        <f t="shared" si="7"/>
        <v>0.8848920863</v>
      </c>
      <c r="S25" s="102">
        <f t="shared" si="7"/>
        <v>1.009345794</v>
      </c>
      <c r="T25" s="102">
        <f t="shared" si="7"/>
        <v>0.6515151515</v>
      </c>
      <c r="U25" s="104"/>
      <c r="V25" s="103"/>
      <c r="W25" s="103"/>
      <c r="X25" s="103"/>
      <c r="Y25" s="103"/>
      <c r="Z25" s="103"/>
      <c r="AA25" s="103"/>
      <c r="AB25" s="216"/>
      <c r="AC25" s="216"/>
      <c r="AD25" s="216"/>
      <c r="AE25" s="216"/>
      <c r="AF25" s="216"/>
      <c r="AG25" s="216"/>
      <c r="AH25" s="216"/>
      <c r="AI25" s="216"/>
      <c r="AJ25" s="216"/>
      <c r="AK25" s="216"/>
      <c r="AL25" s="216"/>
      <c r="AM25" s="216"/>
      <c r="AN25" s="216"/>
    </row>
    <row r="26">
      <c r="A26" s="105" t="s">
        <v>38</v>
      </c>
      <c r="B26" s="106">
        <f t="shared" ref="B26:T26" si="8">IFERROR(B12/B18, 0)</f>
        <v>0</v>
      </c>
      <c r="C26" s="106">
        <f t="shared" si="8"/>
        <v>0</v>
      </c>
      <c r="D26" s="106">
        <f t="shared" si="8"/>
        <v>0.1058823529</v>
      </c>
      <c r="E26" s="106">
        <f t="shared" si="8"/>
        <v>0.4090909091</v>
      </c>
      <c r="F26" s="106">
        <f t="shared" si="8"/>
        <v>0.3620689655</v>
      </c>
      <c r="G26" s="106">
        <f t="shared" si="8"/>
        <v>0.6451612903</v>
      </c>
      <c r="H26" s="106">
        <f t="shared" si="8"/>
        <v>0.2888888889</v>
      </c>
      <c r="I26" s="106">
        <f t="shared" si="8"/>
        <v>0.4594594595</v>
      </c>
      <c r="J26" s="106">
        <f t="shared" si="8"/>
        <v>0.2545454545</v>
      </c>
      <c r="K26" s="106">
        <f t="shared" si="8"/>
        <v>0.5128205128</v>
      </c>
      <c r="L26" s="106">
        <f t="shared" si="8"/>
        <v>0.2266666667</v>
      </c>
      <c r="M26" s="107">
        <f t="shared" si="8"/>
        <v>0.5714285714</v>
      </c>
      <c r="N26" s="106">
        <f t="shared" si="8"/>
        <v>0.3023255814</v>
      </c>
      <c r="O26" s="106">
        <f t="shared" si="8"/>
        <v>0.1166666667</v>
      </c>
      <c r="P26" s="106">
        <f t="shared" si="8"/>
        <v>0.07438016529</v>
      </c>
      <c r="Q26" s="106">
        <f t="shared" si="8"/>
        <v>0.42</v>
      </c>
      <c r="R26" s="106">
        <f t="shared" si="8"/>
        <v>0</v>
      </c>
      <c r="S26" s="106">
        <f t="shared" si="8"/>
        <v>0.325</v>
      </c>
      <c r="T26" s="106">
        <f t="shared" si="8"/>
        <v>0.98</v>
      </c>
      <c r="U26" s="108"/>
      <c r="V26" s="107"/>
      <c r="W26" s="107"/>
      <c r="X26" s="107"/>
      <c r="Y26" s="107"/>
      <c r="Z26" s="107"/>
      <c r="AA26" s="107"/>
      <c r="AB26" s="216"/>
      <c r="AC26" s="216"/>
      <c r="AD26" s="216"/>
      <c r="AE26" s="216"/>
      <c r="AF26" s="216"/>
      <c r="AG26" s="216"/>
      <c r="AH26" s="216"/>
      <c r="AI26" s="216"/>
      <c r="AJ26" s="216"/>
      <c r="AK26" s="216"/>
      <c r="AL26" s="216"/>
      <c r="AM26" s="216"/>
      <c r="AN26" s="216"/>
    </row>
    <row r="27">
      <c r="A27" s="109" t="s">
        <v>39</v>
      </c>
      <c r="B27" s="110">
        <f t="shared" ref="B27:T27" si="9">IFERROR(B20/B18, 0)</f>
        <v>1</v>
      </c>
      <c r="C27" s="110">
        <f t="shared" si="9"/>
        <v>0.9230769231</v>
      </c>
      <c r="D27" s="110">
        <f t="shared" si="9"/>
        <v>0.9705882353</v>
      </c>
      <c r="E27" s="110">
        <f t="shared" si="9"/>
        <v>1</v>
      </c>
      <c r="F27" s="110">
        <f t="shared" si="9"/>
        <v>1</v>
      </c>
      <c r="G27" s="110">
        <f t="shared" si="9"/>
        <v>1</v>
      </c>
      <c r="H27" s="110">
        <f t="shared" si="9"/>
        <v>1</v>
      </c>
      <c r="I27" s="110">
        <f t="shared" si="9"/>
        <v>1</v>
      </c>
      <c r="J27" s="110">
        <f t="shared" si="9"/>
        <v>0.8545454545</v>
      </c>
      <c r="K27" s="110">
        <f t="shared" si="9"/>
        <v>1</v>
      </c>
      <c r="L27" s="110">
        <f t="shared" si="9"/>
        <v>0.5466666667</v>
      </c>
      <c r="M27" s="110">
        <f t="shared" si="9"/>
        <v>0.4</v>
      </c>
      <c r="N27" s="110">
        <f t="shared" si="9"/>
        <v>1</v>
      </c>
      <c r="O27" s="110">
        <f t="shared" si="9"/>
        <v>0.4333333333</v>
      </c>
      <c r="P27" s="110">
        <f t="shared" si="9"/>
        <v>1</v>
      </c>
      <c r="Q27" s="110">
        <f t="shared" si="9"/>
        <v>1</v>
      </c>
      <c r="R27" s="110">
        <f t="shared" si="9"/>
        <v>1</v>
      </c>
      <c r="S27" s="231">
        <f t="shared" si="9"/>
        <v>1</v>
      </c>
      <c r="T27" s="231">
        <f t="shared" si="9"/>
        <v>1</v>
      </c>
      <c r="U27" s="232"/>
      <c r="V27" s="231"/>
      <c r="W27" s="231"/>
      <c r="X27" s="231"/>
      <c r="Y27" s="231"/>
      <c r="Z27" s="231"/>
      <c r="AA27" s="231"/>
      <c r="AB27" s="233"/>
      <c r="AC27" s="234"/>
      <c r="AD27" s="234"/>
      <c r="AE27" s="234"/>
      <c r="AF27" s="234"/>
      <c r="AG27" s="234"/>
      <c r="AH27" s="234"/>
      <c r="AI27" s="234"/>
      <c r="AJ27" s="234"/>
      <c r="AK27" s="234"/>
      <c r="AL27" s="234"/>
      <c r="AM27" s="234"/>
      <c r="AN27" s="234"/>
    </row>
    <row r="28">
      <c r="A28" s="114" t="s">
        <v>40</v>
      </c>
      <c r="B28" s="115">
        <f t="shared" ref="B28:T28" si="10">B22/B8</f>
        <v>0.7258064516</v>
      </c>
      <c r="C28" s="115">
        <f t="shared" si="10"/>
        <v>0.5833333333</v>
      </c>
      <c r="D28" s="115">
        <f t="shared" si="10"/>
        <v>0.9821428571</v>
      </c>
      <c r="E28" s="115">
        <f t="shared" si="10"/>
        <v>0.2960526316</v>
      </c>
      <c r="F28" s="115">
        <f t="shared" si="10"/>
        <v>0.4415584416</v>
      </c>
      <c r="G28" s="115">
        <f t="shared" si="10"/>
        <v>0.3774834437</v>
      </c>
      <c r="H28" s="115">
        <f t="shared" si="10"/>
        <v>0.3503184713</v>
      </c>
      <c r="I28" s="115">
        <f t="shared" si="10"/>
        <v>0.46875</v>
      </c>
      <c r="J28" s="115">
        <f t="shared" si="10"/>
        <v>0.6641791045</v>
      </c>
      <c r="K28" s="115">
        <f t="shared" si="10"/>
        <v>0.5306122449</v>
      </c>
      <c r="L28" s="115">
        <f t="shared" si="10"/>
        <v>0.8</v>
      </c>
      <c r="M28" s="115">
        <f t="shared" si="10"/>
        <v>0.3943661972</v>
      </c>
      <c r="N28" s="115">
        <f t="shared" si="10"/>
        <v>0.2810457516</v>
      </c>
      <c r="O28" s="115">
        <f t="shared" si="10"/>
        <v>0.6178861789</v>
      </c>
      <c r="P28" s="115">
        <f t="shared" si="10"/>
        <v>0.9084507042</v>
      </c>
      <c r="Q28" s="115">
        <f t="shared" si="10"/>
        <v>0.64</v>
      </c>
      <c r="R28" s="115">
        <f t="shared" si="10"/>
        <v>0.3741007194</v>
      </c>
      <c r="S28" s="235">
        <f t="shared" si="10"/>
        <v>0.3738317757</v>
      </c>
      <c r="T28" s="235">
        <f t="shared" si="10"/>
        <v>0.446969697</v>
      </c>
      <c r="U28" s="236"/>
      <c r="V28" s="235"/>
      <c r="W28" s="235"/>
      <c r="X28" s="235"/>
      <c r="Y28" s="235"/>
      <c r="Z28" s="235"/>
      <c r="AA28" s="235"/>
      <c r="AB28" s="233"/>
      <c r="AC28" s="234"/>
      <c r="AD28" s="234"/>
      <c r="AE28" s="234"/>
      <c r="AF28" s="234"/>
      <c r="AG28" s="234"/>
      <c r="AH28" s="234"/>
      <c r="AI28" s="234"/>
      <c r="AJ28" s="234"/>
      <c r="AK28" s="234"/>
      <c r="AL28" s="234"/>
      <c r="AM28" s="234"/>
      <c r="AN28" s="234"/>
    </row>
    <row r="29">
      <c r="A29" s="117" t="s">
        <v>41</v>
      </c>
      <c r="B29" s="118"/>
      <c r="C29" s="119"/>
      <c r="D29" s="119"/>
      <c r="E29" s="119"/>
      <c r="F29" s="119"/>
      <c r="G29" s="119"/>
      <c r="H29" s="119"/>
      <c r="I29" s="119"/>
      <c r="J29" s="119"/>
      <c r="K29" s="119"/>
      <c r="L29" s="119"/>
      <c r="M29" s="119"/>
      <c r="N29" s="119"/>
      <c r="O29" s="119"/>
      <c r="P29" s="119"/>
      <c r="Q29" s="119"/>
      <c r="R29" s="119"/>
      <c r="S29" s="237"/>
      <c r="T29" s="237"/>
      <c r="U29" s="238"/>
      <c r="V29" s="237"/>
      <c r="W29" s="237"/>
      <c r="X29" s="237"/>
      <c r="Y29" s="237"/>
      <c r="Z29" s="237"/>
      <c r="AA29" s="237"/>
      <c r="AB29" s="239"/>
      <c r="AC29" s="239"/>
      <c r="AD29" s="239"/>
      <c r="AE29" s="239"/>
      <c r="AF29" s="239"/>
      <c r="AG29" s="230"/>
      <c r="AH29" s="230"/>
      <c r="AI29" s="230"/>
      <c r="AJ29" s="230"/>
      <c r="AK29" s="230"/>
      <c r="AL29" s="230"/>
      <c r="AM29" s="230"/>
      <c r="AN29" s="230"/>
    </row>
    <row r="30">
      <c r="A30" s="184" t="s">
        <v>141</v>
      </c>
      <c r="B30" s="185">
        <f t="shared" ref="B30:AA30" si="11">B60/B8</f>
        <v>0</v>
      </c>
      <c r="C30" s="185">
        <f t="shared" si="11"/>
        <v>0</v>
      </c>
      <c r="D30" s="185">
        <f t="shared" si="11"/>
        <v>0</v>
      </c>
      <c r="E30" s="185">
        <f t="shared" si="11"/>
        <v>0</v>
      </c>
      <c r="F30" s="185">
        <f t="shared" si="11"/>
        <v>0</v>
      </c>
      <c r="G30" s="185">
        <f t="shared" si="11"/>
        <v>0</v>
      </c>
      <c r="H30" s="185">
        <f t="shared" si="11"/>
        <v>0</v>
      </c>
      <c r="I30" s="185">
        <f t="shared" si="11"/>
        <v>0</v>
      </c>
      <c r="J30" s="185">
        <f t="shared" si="11"/>
        <v>0</v>
      </c>
      <c r="K30" s="185">
        <f t="shared" si="11"/>
        <v>0</v>
      </c>
      <c r="L30" s="185">
        <f t="shared" si="11"/>
        <v>0</v>
      </c>
      <c r="M30" s="185">
        <f t="shared" si="11"/>
        <v>0</v>
      </c>
      <c r="N30" s="185">
        <f t="shared" si="11"/>
        <v>0</v>
      </c>
      <c r="O30" s="185">
        <f t="shared" si="11"/>
        <v>0</v>
      </c>
      <c r="P30" s="185">
        <f t="shared" si="11"/>
        <v>0</v>
      </c>
      <c r="Q30" s="185">
        <f t="shared" si="11"/>
        <v>0</v>
      </c>
      <c r="R30" s="185">
        <f t="shared" si="11"/>
        <v>0</v>
      </c>
      <c r="S30" s="185">
        <f t="shared" si="11"/>
        <v>0</v>
      </c>
      <c r="T30" s="185">
        <f t="shared" si="11"/>
        <v>0</v>
      </c>
      <c r="U30" s="185" t="str">
        <f t="shared" si="11"/>
        <v>#DIV/0!</v>
      </c>
      <c r="V30" s="185" t="str">
        <f t="shared" si="11"/>
        <v>#DIV/0!</v>
      </c>
      <c r="W30" s="185" t="str">
        <f t="shared" si="11"/>
        <v>#DIV/0!</v>
      </c>
      <c r="X30" s="185" t="str">
        <f t="shared" si="11"/>
        <v>#DIV/0!</v>
      </c>
      <c r="Y30" s="185" t="str">
        <f t="shared" si="11"/>
        <v>#DIV/0!</v>
      </c>
      <c r="Z30" s="185" t="str">
        <f t="shared" si="11"/>
        <v>#DIV/0!</v>
      </c>
      <c r="AA30" s="185" t="str">
        <f t="shared" si="11"/>
        <v>#DIV/0!</v>
      </c>
      <c r="AB30" s="240"/>
      <c r="AC30" s="186"/>
      <c r="AD30" s="186"/>
      <c r="AE30" s="186"/>
      <c r="AF30" s="186"/>
      <c r="AG30" s="186"/>
      <c r="AH30" s="186"/>
      <c r="AI30" s="186"/>
      <c r="AJ30" s="186"/>
      <c r="AK30" s="186"/>
      <c r="AL30" s="186"/>
      <c r="AM30" s="186"/>
      <c r="AN30" s="186"/>
    </row>
    <row r="31">
      <c r="A31" s="187" t="s">
        <v>42</v>
      </c>
      <c r="B31" s="185">
        <f t="shared" ref="B31:T31" si="12">B48/B8</f>
        <v>0.5483870968</v>
      </c>
      <c r="C31" s="185">
        <f t="shared" si="12"/>
        <v>0.3888888889</v>
      </c>
      <c r="D31" s="185">
        <f t="shared" si="12"/>
        <v>0.8571428571</v>
      </c>
      <c r="E31" s="185">
        <f t="shared" si="12"/>
        <v>0.5855263158</v>
      </c>
      <c r="F31" s="185">
        <f t="shared" si="12"/>
        <v>0.525974026</v>
      </c>
      <c r="G31" s="185">
        <f t="shared" si="12"/>
        <v>0.3841059603</v>
      </c>
      <c r="H31" s="185">
        <f t="shared" si="12"/>
        <v>0.7834394904</v>
      </c>
      <c r="I31" s="185">
        <f t="shared" si="12"/>
        <v>0.6953125</v>
      </c>
      <c r="J31" s="185">
        <f t="shared" si="12"/>
        <v>0.5298507463</v>
      </c>
      <c r="K31" s="185">
        <f t="shared" si="12"/>
        <v>0.5238095238</v>
      </c>
      <c r="L31" s="185">
        <f t="shared" si="12"/>
        <v>0.524137931</v>
      </c>
      <c r="M31" s="185">
        <f t="shared" si="12"/>
        <v>0.485915493</v>
      </c>
      <c r="N31" s="185">
        <f t="shared" si="12"/>
        <v>0.660130719</v>
      </c>
      <c r="O31" s="185">
        <f t="shared" si="12"/>
        <v>0.5528455285</v>
      </c>
      <c r="P31" s="185">
        <f t="shared" si="12"/>
        <v>0.3309859155</v>
      </c>
      <c r="Q31" s="185">
        <f t="shared" si="12"/>
        <v>0.34</v>
      </c>
      <c r="R31" s="185">
        <f t="shared" si="12"/>
        <v>0.5467625899</v>
      </c>
      <c r="S31" s="185">
        <f t="shared" si="12"/>
        <v>0.7102803738</v>
      </c>
      <c r="T31" s="185">
        <f t="shared" si="12"/>
        <v>0.6742424242</v>
      </c>
      <c r="U31" s="185">
        <v>0.0</v>
      </c>
      <c r="V31" s="185">
        <v>0.0</v>
      </c>
      <c r="W31" s="185">
        <v>0.0</v>
      </c>
      <c r="X31" s="185">
        <v>0.0</v>
      </c>
      <c r="Y31" s="185">
        <v>0.0</v>
      </c>
      <c r="Z31" s="185">
        <v>0.0</v>
      </c>
      <c r="AA31" s="185">
        <v>0.0</v>
      </c>
      <c r="AB31" s="234"/>
      <c r="AC31" s="239"/>
      <c r="AD31" s="239"/>
      <c r="AE31" s="239"/>
      <c r="AF31" s="239"/>
      <c r="AG31" s="230"/>
      <c r="AH31" s="230"/>
      <c r="AI31" s="230"/>
      <c r="AJ31" s="230"/>
      <c r="AK31" s="230"/>
      <c r="AL31" s="230"/>
      <c r="AM31" s="230"/>
      <c r="AN31" s="230"/>
    </row>
    <row r="32">
      <c r="A32" s="190" t="s">
        <v>43</v>
      </c>
      <c r="B32" s="191">
        <v>1.0</v>
      </c>
      <c r="C32" s="191">
        <v>1.0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91">
        <v>1.0</v>
      </c>
      <c r="S32" s="191">
        <v>1.0</v>
      </c>
      <c r="T32" s="191">
        <v>1.0</v>
      </c>
      <c r="U32" s="185">
        <v>0.0</v>
      </c>
      <c r="V32" s="185">
        <v>0.0</v>
      </c>
      <c r="W32" s="185">
        <v>0.0</v>
      </c>
      <c r="X32" s="185">
        <v>0.0</v>
      </c>
      <c r="Y32" s="185">
        <v>0.0</v>
      </c>
      <c r="Z32" s="185">
        <v>0.0</v>
      </c>
      <c r="AA32" s="185">
        <v>0.0</v>
      </c>
      <c r="AB32" s="239"/>
      <c r="AC32" s="239"/>
      <c r="AD32" s="239"/>
      <c r="AE32" s="239"/>
      <c r="AF32" s="239"/>
      <c r="AG32" s="230"/>
      <c r="AH32" s="230"/>
      <c r="AI32" s="230"/>
      <c r="AJ32" s="230"/>
      <c r="AK32" s="230"/>
      <c r="AL32" s="230"/>
      <c r="AM32" s="230"/>
      <c r="AN32" s="230"/>
    </row>
    <row r="33">
      <c r="A33" s="187" t="s">
        <v>44</v>
      </c>
      <c r="B33" s="192">
        <f t="shared" ref="B33:AA33" si="13">(B24*0.7) + (IF(B31 &gt;= 30%, 1, 0)*0.15) + (B32*0.15)</f>
        <v>1</v>
      </c>
      <c r="C33" s="192">
        <f t="shared" si="13"/>
        <v>1</v>
      </c>
      <c r="D33" s="192">
        <f t="shared" si="13"/>
        <v>1</v>
      </c>
      <c r="E33" s="192">
        <f t="shared" si="13"/>
        <v>1</v>
      </c>
      <c r="F33" s="192">
        <f t="shared" si="13"/>
        <v>1</v>
      </c>
      <c r="G33" s="192">
        <f t="shared" si="13"/>
        <v>0.3</v>
      </c>
      <c r="H33" s="192">
        <f t="shared" si="13"/>
        <v>1</v>
      </c>
      <c r="I33" s="192">
        <f t="shared" si="13"/>
        <v>1</v>
      </c>
      <c r="J33" s="192">
        <f t="shared" si="13"/>
        <v>1</v>
      </c>
      <c r="K33" s="192">
        <f t="shared" si="13"/>
        <v>0.3</v>
      </c>
      <c r="L33" s="192">
        <f t="shared" si="13"/>
        <v>1</v>
      </c>
      <c r="M33" s="192">
        <f t="shared" si="13"/>
        <v>1</v>
      </c>
      <c r="N33" s="192">
        <f t="shared" si="13"/>
        <v>1</v>
      </c>
      <c r="O33" s="192">
        <f t="shared" si="13"/>
        <v>1</v>
      </c>
      <c r="P33" s="192">
        <f t="shared" si="13"/>
        <v>1</v>
      </c>
      <c r="Q33" s="192">
        <f t="shared" si="13"/>
        <v>1</v>
      </c>
      <c r="R33" s="192">
        <f t="shared" si="13"/>
        <v>1</v>
      </c>
      <c r="S33" s="192">
        <f t="shared" si="13"/>
        <v>1</v>
      </c>
      <c r="T33" s="192">
        <f t="shared" si="13"/>
        <v>0.3</v>
      </c>
      <c r="U33" s="192">
        <f t="shared" si="13"/>
        <v>0</v>
      </c>
      <c r="V33" s="192">
        <f t="shared" si="13"/>
        <v>0</v>
      </c>
      <c r="W33" s="192">
        <f t="shared" si="13"/>
        <v>0</v>
      </c>
      <c r="X33" s="192">
        <f t="shared" si="13"/>
        <v>0</v>
      </c>
      <c r="Y33" s="192">
        <f t="shared" si="13"/>
        <v>0</v>
      </c>
      <c r="Z33" s="192">
        <f t="shared" si="13"/>
        <v>0</v>
      </c>
      <c r="AA33" s="192">
        <f t="shared" si="13"/>
        <v>0</v>
      </c>
      <c r="AB33" s="239"/>
      <c r="AC33" s="239"/>
      <c r="AD33" s="239"/>
      <c r="AE33" s="239"/>
      <c r="AF33" s="239"/>
      <c r="AG33" s="230"/>
      <c r="AH33" s="230"/>
      <c r="AI33" s="230"/>
      <c r="AJ33" s="230"/>
      <c r="AK33" s="230"/>
      <c r="AL33" s="230"/>
      <c r="AM33" s="230"/>
      <c r="AN33" s="230"/>
    </row>
    <row r="34">
      <c r="A34" s="193" t="s">
        <v>142</v>
      </c>
      <c r="B34" s="192"/>
      <c r="C34" s="192"/>
      <c r="D34" s="192"/>
      <c r="E34" s="192"/>
      <c r="F34" s="192"/>
      <c r="G34" s="192"/>
      <c r="H34" s="192"/>
      <c r="I34" s="192"/>
      <c r="J34" s="192"/>
      <c r="K34" s="192"/>
      <c r="L34" s="192"/>
      <c r="M34" s="192"/>
      <c r="N34" s="192"/>
      <c r="O34" s="192">
        <v>1.0</v>
      </c>
      <c r="P34" s="192">
        <v>1.0</v>
      </c>
      <c r="Q34" s="192">
        <v>1.0</v>
      </c>
      <c r="R34" s="192">
        <v>1.0</v>
      </c>
      <c r="S34" s="192">
        <v>1.0</v>
      </c>
      <c r="T34" s="192">
        <v>0.3</v>
      </c>
      <c r="U34" s="192"/>
      <c r="V34" s="192"/>
      <c r="W34" s="192"/>
      <c r="X34" s="192"/>
      <c r="Y34" s="192"/>
      <c r="Z34" s="192"/>
      <c r="AA34" s="192"/>
      <c r="AB34" s="239"/>
      <c r="AC34" s="239"/>
      <c r="AD34" s="239"/>
      <c r="AE34" s="239"/>
      <c r="AF34" s="239"/>
      <c r="AG34" s="230"/>
      <c r="AH34" s="230"/>
      <c r="AI34" s="230"/>
      <c r="AJ34" s="230"/>
      <c r="AK34" s="230"/>
      <c r="AL34" s="230"/>
      <c r="AM34" s="230"/>
      <c r="AN34" s="230"/>
    </row>
    <row r="35" ht="30.0" customHeight="1">
      <c r="A35" s="56" t="s">
        <v>35</v>
      </c>
      <c r="B35" s="241" t="s">
        <v>199</v>
      </c>
      <c r="C35" s="242" t="s">
        <v>200</v>
      </c>
      <c r="D35" s="242" t="s">
        <v>201</v>
      </c>
      <c r="E35" s="243" t="s">
        <v>202</v>
      </c>
      <c r="F35" s="244" t="s">
        <v>203</v>
      </c>
      <c r="G35" s="242" t="s">
        <v>204</v>
      </c>
      <c r="H35" s="242" t="s">
        <v>205</v>
      </c>
      <c r="I35" s="244" t="s">
        <v>206</v>
      </c>
      <c r="J35" s="242" t="s">
        <v>207</v>
      </c>
      <c r="K35" s="245" t="s">
        <v>208</v>
      </c>
      <c r="L35" s="246" t="s">
        <v>209</v>
      </c>
      <c r="M35" s="245" t="s">
        <v>210</v>
      </c>
      <c r="N35" s="247" t="s">
        <v>211</v>
      </c>
      <c r="O35" s="247" t="s">
        <v>212</v>
      </c>
      <c r="P35" s="247" t="s">
        <v>213</v>
      </c>
      <c r="Q35" s="248" t="s">
        <v>214</v>
      </c>
      <c r="R35" s="249" t="s">
        <v>215</v>
      </c>
      <c r="S35" s="250" t="s">
        <v>216</v>
      </c>
      <c r="T35" s="241" t="s">
        <v>217</v>
      </c>
      <c r="U35" s="217"/>
      <c r="V35" s="216"/>
      <c r="W35" s="216"/>
      <c r="X35" s="216"/>
      <c r="Y35" s="216"/>
      <c r="Z35" s="216"/>
      <c r="AA35" s="216"/>
      <c r="AB35" s="216"/>
      <c r="AC35" s="216"/>
      <c r="AD35" s="216"/>
      <c r="AE35" s="216"/>
      <c r="AF35" s="216"/>
      <c r="AG35" s="216"/>
      <c r="AH35" s="216"/>
      <c r="AI35" s="216"/>
      <c r="AJ35" s="216"/>
      <c r="AK35" s="216"/>
      <c r="AL35" s="216"/>
      <c r="AM35" s="216"/>
      <c r="AN35" s="216"/>
    </row>
    <row r="36">
      <c r="A36" s="126" t="s">
        <v>45</v>
      </c>
      <c r="B36" s="251">
        <f t="shared" ref="B36:R36" si="14">SUM(B37:B40)</f>
        <v>124</v>
      </c>
      <c r="C36" s="251">
        <f t="shared" si="14"/>
        <v>144</v>
      </c>
      <c r="D36" s="251">
        <f t="shared" si="14"/>
        <v>168</v>
      </c>
      <c r="E36" s="251">
        <f t="shared" si="14"/>
        <v>152</v>
      </c>
      <c r="F36" s="251">
        <f t="shared" si="14"/>
        <v>154</v>
      </c>
      <c r="G36" s="251">
        <f t="shared" si="14"/>
        <v>151</v>
      </c>
      <c r="H36" s="251">
        <f t="shared" si="14"/>
        <v>157</v>
      </c>
      <c r="I36" s="251">
        <f t="shared" si="14"/>
        <v>128</v>
      </c>
      <c r="J36" s="251">
        <f t="shared" si="14"/>
        <v>134</v>
      </c>
      <c r="K36" s="251">
        <f t="shared" si="14"/>
        <v>147</v>
      </c>
      <c r="L36" s="251">
        <f t="shared" si="14"/>
        <v>145</v>
      </c>
      <c r="M36" s="251">
        <f t="shared" si="14"/>
        <v>142</v>
      </c>
      <c r="N36" s="251">
        <f t="shared" si="14"/>
        <v>153</v>
      </c>
      <c r="O36" s="251">
        <f t="shared" si="14"/>
        <v>123</v>
      </c>
      <c r="P36" s="251">
        <f t="shared" si="14"/>
        <v>142</v>
      </c>
      <c r="Q36" s="251">
        <f t="shared" si="14"/>
        <v>100</v>
      </c>
      <c r="R36" s="251">
        <f t="shared" si="14"/>
        <v>138</v>
      </c>
      <c r="S36" s="252">
        <f t="shared" ref="S36:T36" si="15">SUM(S37:S41)</f>
        <v>107</v>
      </c>
      <c r="T36" s="252">
        <f t="shared" si="15"/>
        <v>127</v>
      </c>
      <c r="U36" s="253"/>
      <c r="V36" s="254"/>
      <c r="W36" s="254"/>
      <c r="X36" s="254"/>
      <c r="Y36" s="254"/>
      <c r="Z36" s="254"/>
      <c r="AA36" s="254"/>
      <c r="AB36" s="254"/>
      <c r="AC36" s="254"/>
      <c r="AD36" s="230"/>
      <c r="AE36" s="230"/>
      <c r="AF36" s="230"/>
      <c r="AG36" s="230"/>
      <c r="AH36" s="230"/>
      <c r="AI36" s="230"/>
      <c r="AJ36" s="230"/>
      <c r="AK36" s="230"/>
      <c r="AL36" s="230"/>
      <c r="AM36" s="230"/>
      <c r="AN36" s="230"/>
    </row>
    <row r="37">
      <c r="A37" s="131" t="s">
        <v>218</v>
      </c>
      <c r="B37" s="255">
        <v>42.0</v>
      </c>
      <c r="C37" s="256">
        <v>56.0</v>
      </c>
      <c r="D37" s="256">
        <v>58.0</v>
      </c>
      <c r="E37" s="256">
        <v>52.0</v>
      </c>
      <c r="F37" s="256">
        <v>52.0</v>
      </c>
      <c r="G37" s="256">
        <v>50.0</v>
      </c>
      <c r="H37" s="256">
        <v>55.0</v>
      </c>
      <c r="I37" s="256">
        <v>21.0</v>
      </c>
      <c r="J37" s="256">
        <v>48.0</v>
      </c>
      <c r="K37" s="256">
        <v>48.0</v>
      </c>
      <c r="L37" s="256">
        <v>48.0</v>
      </c>
      <c r="M37" s="256">
        <v>50.0</v>
      </c>
      <c r="N37" s="257">
        <f>8+21+3+5</f>
        <v>37</v>
      </c>
      <c r="O37" s="256">
        <v>40.0</v>
      </c>
      <c r="P37" s="256">
        <v>45.0</v>
      </c>
      <c r="Q37" s="256">
        <v>34.0</v>
      </c>
      <c r="R37" s="256">
        <v>44.0</v>
      </c>
      <c r="S37" s="258">
        <v>34.0</v>
      </c>
      <c r="T37" s="258"/>
      <c r="U37" s="259"/>
      <c r="V37" s="258"/>
      <c r="W37" s="258"/>
      <c r="X37" s="258"/>
      <c r="Y37" s="258"/>
      <c r="Z37" s="258"/>
      <c r="AA37" s="258"/>
      <c r="AB37" s="258"/>
      <c r="AC37" s="230"/>
      <c r="AD37" s="230"/>
      <c r="AE37" s="230"/>
      <c r="AF37" s="230"/>
      <c r="AG37" s="230"/>
      <c r="AH37" s="230"/>
      <c r="AI37" s="230"/>
      <c r="AJ37" s="230"/>
      <c r="AK37" s="230"/>
      <c r="AL37" s="230"/>
      <c r="AM37" s="230"/>
      <c r="AN37" s="230"/>
    </row>
    <row r="38" ht="17.25" customHeight="1">
      <c r="A38" s="131" t="s">
        <v>219</v>
      </c>
      <c r="B38" s="255">
        <v>39.0</v>
      </c>
      <c r="C38" s="256">
        <v>53.0</v>
      </c>
      <c r="D38" s="256">
        <v>55.0</v>
      </c>
      <c r="E38" s="256">
        <v>50.0</v>
      </c>
      <c r="F38" s="256">
        <v>52.0</v>
      </c>
      <c r="G38" s="256">
        <v>54.0</v>
      </c>
      <c r="H38" s="256">
        <v>52.0</v>
      </c>
      <c r="I38" s="256">
        <v>55.0</v>
      </c>
      <c r="J38" s="256">
        <v>44.0</v>
      </c>
      <c r="K38" s="256">
        <v>47.0</v>
      </c>
      <c r="L38" s="256">
        <v>50.0</v>
      </c>
      <c r="M38" s="256">
        <v>46.0</v>
      </c>
      <c r="N38" s="257">
        <f>8+21+5</f>
        <v>34</v>
      </c>
      <c r="O38" s="256">
        <v>36.0</v>
      </c>
      <c r="P38" s="256">
        <v>45.0</v>
      </c>
      <c r="Q38" s="256">
        <v>32.0</v>
      </c>
      <c r="R38" s="256">
        <v>47.0</v>
      </c>
      <c r="S38" s="258">
        <v>18.0</v>
      </c>
      <c r="T38" s="258">
        <v>52.0</v>
      </c>
      <c r="U38" s="260"/>
      <c r="V38" s="230"/>
      <c r="W38" s="230"/>
      <c r="X38" s="230"/>
      <c r="Y38" s="230"/>
      <c r="Z38" s="230"/>
      <c r="AA38" s="230"/>
      <c r="AB38" s="230"/>
      <c r="AC38" s="230"/>
      <c r="AD38" s="230"/>
      <c r="AE38" s="230"/>
      <c r="AF38" s="230"/>
      <c r="AG38" s="230"/>
      <c r="AH38" s="230"/>
      <c r="AI38" s="230"/>
      <c r="AJ38" s="230"/>
      <c r="AK38" s="230"/>
      <c r="AL38" s="230"/>
      <c r="AM38" s="230"/>
      <c r="AN38" s="230"/>
    </row>
    <row r="39" hidden="1">
      <c r="A39" s="131" t="s">
        <v>220</v>
      </c>
      <c r="B39" s="255">
        <v>43.0</v>
      </c>
      <c r="C39" s="256">
        <v>35.0</v>
      </c>
      <c r="D39" s="256">
        <v>55.0</v>
      </c>
      <c r="E39" s="256">
        <v>50.0</v>
      </c>
      <c r="F39" s="256">
        <v>50.0</v>
      </c>
      <c r="G39" s="256">
        <v>47.0</v>
      </c>
      <c r="H39" s="256">
        <v>50.0</v>
      </c>
      <c r="I39" s="256">
        <v>52.0</v>
      </c>
      <c r="J39" s="256">
        <v>42.0</v>
      </c>
      <c r="K39" s="256">
        <v>52.0</v>
      </c>
      <c r="L39" s="256">
        <v>47.0</v>
      </c>
      <c r="M39" s="256">
        <v>46.0</v>
      </c>
      <c r="N39" s="257">
        <f>1+13+5+21</f>
        <v>40</v>
      </c>
      <c r="O39" s="257"/>
      <c r="P39" s="257"/>
      <c r="Q39" s="256"/>
      <c r="R39" s="256"/>
      <c r="S39" s="258"/>
      <c r="T39" s="258"/>
      <c r="U39" s="259"/>
      <c r="V39" s="258"/>
      <c r="W39" s="258"/>
      <c r="X39" s="258"/>
      <c r="Y39" s="258"/>
      <c r="Z39" s="258"/>
      <c r="AA39" s="258"/>
      <c r="AB39" s="258"/>
      <c r="AC39" s="230"/>
      <c r="AD39" s="230"/>
      <c r="AE39" s="230"/>
      <c r="AF39" s="230"/>
      <c r="AG39" s="230"/>
      <c r="AH39" s="230"/>
      <c r="AI39" s="230"/>
      <c r="AJ39" s="230"/>
      <c r="AK39" s="230"/>
      <c r="AL39" s="230"/>
      <c r="AM39" s="230"/>
      <c r="AN39" s="230"/>
    </row>
    <row r="40">
      <c r="A40" s="131" t="s">
        <v>221</v>
      </c>
      <c r="B40" s="255"/>
      <c r="C40" s="257"/>
      <c r="D40" s="257"/>
      <c r="E40" s="257"/>
      <c r="F40" s="257"/>
      <c r="G40" s="257"/>
      <c r="H40" s="257"/>
      <c r="I40" s="257"/>
      <c r="J40" s="257"/>
      <c r="K40" s="257"/>
      <c r="L40" s="257"/>
      <c r="M40" s="257"/>
      <c r="N40" s="257">
        <f>21+8+13</f>
        <v>42</v>
      </c>
      <c r="O40" s="256">
        <v>47.0</v>
      </c>
      <c r="P40" s="256">
        <v>52.0</v>
      </c>
      <c r="Q40" s="256">
        <v>34.0</v>
      </c>
      <c r="R40" s="256">
        <v>47.0</v>
      </c>
      <c r="S40" s="258">
        <v>55.0</v>
      </c>
      <c r="T40" s="258">
        <v>57.0</v>
      </c>
      <c r="U40" s="259"/>
      <c r="V40" s="258"/>
      <c r="W40" s="258"/>
      <c r="X40" s="258"/>
      <c r="Y40" s="258"/>
      <c r="Z40" s="258"/>
      <c r="AA40" s="258"/>
      <c r="AB40" s="258"/>
      <c r="AC40" s="230"/>
      <c r="AD40" s="230"/>
      <c r="AE40" s="230"/>
      <c r="AF40" s="230"/>
      <c r="AG40" s="230"/>
      <c r="AH40" s="230"/>
      <c r="AI40" s="230"/>
      <c r="AJ40" s="230"/>
      <c r="AK40" s="230"/>
      <c r="AL40" s="230"/>
      <c r="AM40" s="230"/>
      <c r="AN40" s="230"/>
    </row>
    <row r="41">
      <c r="A41" s="131" t="s">
        <v>222</v>
      </c>
      <c r="B41" s="255"/>
      <c r="C41" s="257"/>
      <c r="D41" s="257"/>
      <c r="E41" s="257"/>
      <c r="F41" s="257"/>
      <c r="G41" s="257"/>
      <c r="H41" s="257"/>
      <c r="I41" s="257"/>
      <c r="J41" s="257"/>
      <c r="K41" s="257"/>
      <c r="L41" s="257"/>
      <c r="M41" s="257"/>
      <c r="N41" s="257"/>
      <c r="O41" s="256"/>
      <c r="P41" s="256"/>
      <c r="Q41" s="256"/>
      <c r="R41" s="256"/>
      <c r="S41" s="258"/>
      <c r="T41" s="258">
        <v>18.0</v>
      </c>
      <c r="U41" s="259"/>
      <c r="V41" s="258"/>
      <c r="W41" s="258"/>
      <c r="X41" s="258"/>
      <c r="Y41" s="258"/>
      <c r="Z41" s="258"/>
      <c r="AA41" s="258"/>
      <c r="AB41" s="258"/>
      <c r="AC41" s="230"/>
      <c r="AD41" s="230"/>
      <c r="AE41" s="230"/>
      <c r="AF41" s="230"/>
      <c r="AG41" s="230"/>
      <c r="AH41" s="230"/>
      <c r="AI41" s="230"/>
      <c r="AJ41" s="230"/>
      <c r="AK41" s="230"/>
      <c r="AL41" s="230"/>
      <c r="AM41" s="230"/>
      <c r="AN41" s="230"/>
    </row>
    <row r="42">
      <c r="A42" s="126" t="s">
        <v>46</v>
      </c>
      <c r="B42" s="251">
        <f t="shared" ref="B42:R42" si="16">SUM(B43:B46)</f>
        <v>112</v>
      </c>
      <c r="C42" s="251">
        <f t="shared" si="16"/>
        <v>68</v>
      </c>
      <c r="D42" s="251">
        <f t="shared" si="16"/>
        <v>173</v>
      </c>
      <c r="E42" s="251">
        <f t="shared" si="16"/>
        <v>149</v>
      </c>
      <c r="F42" s="251">
        <f t="shared" si="16"/>
        <v>144</v>
      </c>
      <c r="G42" s="251">
        <f t="shared" si="16"/>
        <v>125</v>
      </c>
      <c r="H42" s="251">
        <f t="shared" si="16"/>
        <v>147</v>
      </c>
      <c r="I42" s="251">
        <f t="shared" si="16"/>
        <v>105</v>
      </c>
      <c r="J42" s="251">
        <f t="shared" si="16"/>
        <v>124</v>
      </c>
      <c r="K42" s="251">
        <f t="shared" si="16"/>
        <v>77</v>
      </c>
      <c r="L42" s="251">
        <f t="shared" si="16"/>
        <v>104</v>
      </c>
      <c r="M42" s="251">
        <f t="shared" si="16"/>
        <v>115</v>
      </c>
      <c r="N42" s="251">
        <f t="shared" si="16"/>
        <v>142</v>
      </c>
      <c r="O42" s="251">
        <f t="shared" si="16"/>
        <v>113</v>
      </c>
      <c r="P42" s="251">
        <f t="shared" si="16"/>
        <v>122</v>
      </c>
      <c r="Q42" s="251">
        <f t="shared" si="16"/>
        <v>84</v>
      </c>
      <c r="R42" s="251">
        <f t="shared" si="16"/>
        <v>123</v>
      </c>
      <c r="S42" s="252">
        <f t="shared" ref="S42:T42" si="17">SUM(S43:S47)</f>
        <v>108</v>
      </c>
      <c r="T42" s="252">
        <f t="shared" si="17"/>
        <v>76</v>
      </c>
      <c r="U42" s="253"/>
      <c r="V42" s="254"/>
      <c r="W42" s="254"/>
      <c r="X42" s="254"/>
      <c r="Y42" s="254"/>
      <c r="Z42" s="254"/>
      <c r="AA42" s="254"/>
      <c r="AB42" s="254"/>
      <c r="AC42" s="254"/>
      <c r="AD42" s="230"/>
      <c r="AE42" s="230"/>
      <c r="AF42" s="230"/>
      <c r="AG42" s="230"/>
      <c r="AH42" s="230"/>
      <c r="AI42" s="230"/>
      <c r="AJ42" s="230"/>
      <c r="AK42" s="230"/>
      <c r="AL42" s="230"/>
      <c r="AM42" s="230"/>
      <c r="AN42" s="230"/>
    </row>
    <row r="43">
      <c r="A43" s="131" t="s">
        <v>218</v>
      </c>
      <c r="B43" s="255">
        <v>42.0</v>
      </c>
      <c r="C43" s="256">
        <v>14.0</v>
      </c>
      <c r="D43" s="256">
        <v>63.0</v>
      </c>
      <c r="E43" s="256">
        <v>52.0</v>
      </c>
      <c r="F43" s="256">
        <v>52.0</v>
      </c>
      <c r="G43" s="256">
        <v>34.0</v>
      </c>
      <c r="H43" s="256">
        <v>55.0</v>
      </c>
      <c r="I43" s="256">
        <v>21.0</v>
      </c>
      <c r="J43" s="256">
        <v>40.0</v>
      </c>
      <c r="K43" s="256">
        <v>36.0</v>
      </c>
      <c r="L43" s="256">
        <v>40.0</v>
      </c>
      <c r="M43" s="256">
        <v>47.0</v>
      </c>
      <c r="N43" s="256">
        <v>34.0</v>
      </c>
      <c r="O43" s="256">
        <v>43.0</v>
      </c>
      <c r="P43" s="256">
        <v>42.0</v>
      </c>
      <c r="Q43" s="256">
        <v>31.0</v>
      </c>
      <c r="R43" s="256">
        <v>42.0</v>
      </c>
      <c r="S43" s="258">
        <v>55.0</v>
      </c>
      <c r="T43" s="258"/>
      <c r="U43" s="259"/>
      <c r="V43" s="258"/>
      <c r="W43" s="258"/>
      <c r="X43" s="258"/>
      <c r="Y43" s="258"/>
      <c r="Z43" s="258"/>
      <c r="AA43" s="258"/>
      <c r="AB43" s="230"/>
      <c r="AC43" s="230"/>
      <c r="AD43" s="230"/>
      <c r="AE43" s="230"/>
      <c r="AF43" s="230"/>
      <c r="AG43" s="230"/>
      <c r="AH43" s="230"/>
      <c r="AI43" s="230"/>
      <c r="AJ43" s="230"/>
      <c r="AK43" s="230"/>
      <c r="AL43" s="230"/>
      <c r="AM43" s="230"/>
      <c r="AN43" s="230"/>
    </row>
    <row r="44">
      <c r="A44" s="131" t="s">
        <v>219</v>
      </c>
      <c r="B44" s="255">
        <v>28.0</v>
      </c>
      <c r="C44" s="256">
        <v>19.0</v>
      </c>
      <c r="D44" s="256">
        <v>55.0</v>
      </c>
      <c r="E44" s="256">
        <v>50.0</v>
      </c>
      <c r="F44" s="256">
        <v>47.0</v>
      </c>
      <c r="G44" s="256">
        <v>52.0</v>
      </c>
      <c r="H44" s="256">
        <v>47.0</v>
      </c>
      <c r="I44" s="256">
        <v>50.0</v>
      </c>
      <c r="J44" s="256">
        <v>47.0</v>
      </c>
      <c r="K44" s="256">
        <v>10.0</v>
      </c>
      <c r="L44" s="256">
        <v>30.0</v>
      </c>
      <c r="M44" s="256">
        <v>40.0</v>
      </c>
      <c r="N44" s="256">
        <v>42.0</v>
      </c>
      <c r="O44" s="256">
        <v>23.0</v>
      </c>
      <c r="P44" s="256">
        <v>40.0</v>
      </c>
      <c r="Q44" s="256">
        <v>32.0</v>
      </c>
      <c r="R44" s="256">
        <v>34.0</v>
      </c>
      <c r="S44" s="258">
        <v>18.0</v>
      </c>
      <c r="T44" s="258">
        <v>40.0</v>
      </c>
      <c r="U44" s="260"/>
      <c r="V44" s="230"/>
      <c r="W44" s="230"/>
      <c r="X44" s="230"/>
      <c r="Y44" s="230"/>
      <c r="Z44" s="230"/>
      <c r="AA44" s="230"/>
      <c r="AB44" s="230"/>
      <c r="AC44" s="230"/>
      <c r="AD44" s="230"/>
      <c r="AE44" s="230"/>
      <c r="AF44" s="230"/>
      <c r="AG44" s="230"/>
      <c r="AH44" s="230"/>
      <c r="AI44" s="230"/>
      <c r="AJ44" s="230"/>
      <c r="AK44" s="230"/>
      <c r="AL44" s="230"/>
      <c r="AM44" s="230"/>
      <c r="AN44" s="230"/>
    </row>
    <row r="45" hidden="1">
      <c r="A45" s="131" t="s">
        <v>220</v>
      </c>
      <c r="B45" s="261">
        <v>42.0</v>
      </c>
      <c r="C45" s="256">
        <v>35.0</v>
      </c>
      <c r="D45" s="256">
        <v>55.0</v>
      </c>
      <c r="E45" s="256">
        <v>47.0</v>
      </c>
      <c r="F45" s="256">
        <v>45.0</v>
      </c>
      <c r="G45" s="256">
        <v>39.0</v>
      </c>
      <c r="H45" s="256">
        <v>45.0</v>
      </c>
      <c r="I45" s="256">
        <v>34.0</v>
      </c>
      <c r="J45" s="256">
        <v>37.0</v>
      </c>
      <c r="K45" s="256">
        <v>31.0</v>
      </c>
      <c r="L45" s="256">
        <v>34.0</v>
      </c>
      <c r="M45" s="256">
        <v>28.0</v>
      </c>
      <c r="N45" s="256">
        <v>35.0</v>
      </c>
      <c r="O45" s="256"/>
      <c r="P45" s="257"/>
      <c r="Q45" s="257"/>
      <c r="R45" s="257"/>
      <c r="S45" s="230"/>
      <c r="T45" s="230"/>
      <c r="U45" s="260"/>
      <c r="V45" s="230"/>
      <c r="W45" s="230"/>
      <c r="X45" s="230"/>
      <c r="Y45" s="230"/>
      <c r="Z45" s="230"/>
      <c r="AA45" s="230"/>
      <c r="AB45" s="230"/>
      <c r="AC45" s="230"/>
      <c r="AD45" s="230"/>
      <c r="AE45" s="230"/>
      <c r="AF45" s="230"/>
      <c r="AG45" s="230"/>
      <c r="AH45" s="230"/>
      <c r="AI45" s="230"/>
      <c r="AJ45" s="230"/>
      <c r="AK45" s="230"/>
      <c r="AL45" s="230"/>
      <c r="AM45" s="230"/>
      <c r="AN45" s="230"/>
    </row>
    <row r="46">
      <c r="A46" s="131" t="s">
        <v>221</v>
      </c>
      <c r="B46" s="261"/>
      <c r="C46" s="256"/>
      <c r="D46" s="256"/>
      <c r="E46" s="256"/>
      <c r="F46" s="256"/>
      <c r="G46" s="256"/>
      <c r="H46" s="256"/>
      <c r="I46" s="256"/>
      <c r="J46" s="256"/>
      <c r="K46" s="256"/>
      <c r="L46" s="256"/>
      <c r="M46" s="256"/>
      <c r="N46" s="256">
        <v>31.0</v>
      </c>
      <c r="O46" s="256">
        <v>47.0</v>
      </c>
      <c r="P46" s="256">
        <v>40.0</v>
      </c>
      <c r="Q46" s="256">
        <v>21.0</v>
      </c>
      <c r="R46" s="256">
        <v>47.0</v>
      </c>
      <c r="S46" s="258">
        <v>35.0</v>
      </c>
      <c r="T46" s="258">
        <v>36.0</v>
      </c>
      <c r="U46" s="259"/>
      <c r="V46" s="258"/>
      <c r="W46" s="258"/>
      <c r="X46" s="258"/>
      <c r="Y46" s="258"/>
      <c r="Z46" s="258"/>
      <c r="AA46" s="258"/>
      <c r="AB46" s="230"/>
      <c r="AC46" s="230"/>
      <c r="AD46" s="230"/>
      <c r="AE46" s="230"/>
      <c r="AF46" s="230"/>
      <c r="AG46" s="230"/>
      <c r="AH46" s="230"/>
      <c r="AI46" s="230"/>
      <c r="AJ46" s="230"/>
      <c r="AK46" s="230"/>
      <c r="AL46" s="230"/>
      <c r="AM46" s="230"/>
      <c r="AN46" s="230"/>
    </row>
    <row r="47">
      <c r="A47" s="131" t="s">
        <v>222</v>
      </c>
      <c r="B47" s="261"/>
      <c r="C47" s="256"/>
      <c r="D47" s="256"/>
      <c r="E47" s="256"/>
      <c r="F47" s="256"/>
      <c r="G47" s="256"/>
      <c r="H47" s="256"/>
      <c r="I47" s="256"/>
      <c r="J47" s="256"/>
      <c r="K47" s="256"/>
      <c r="L47" s="256"/>
      <c r="M47" s="256"/>
      <c r="N47" s="256"/>
      <c r="O47" s="256"/>
      <c r="P47" s="256"/>
      <c r="Q47" s="256"/>
      <c r="R47" s="256"/>
      <c r="S47" s="258"/>
      <c r="T47" s="258"/>
      <c r="U47" s="259"/>
      <c r="V47" s="258"/>
      <c r="W47" s="258"/>
      <c r="X47" s="258"/>
      <c r="Y47" s="258"/>
      <c r="Z47" s="258"/>
      <c r="AA47" s="258"/>
      <c r="AB47" s="230"/>
      <c r="AC47" s="230"/>
      <c r="AD47" s="230"/>
      <c r="AE47" s="230"/>
      <c r="AF47" s="230"/>
      <c r="AG47" s="230"/>
      <c r="AH47" s="230"/>
      <c r="AI47" s="230"/>
      <c r="AJ47" s="230"/>
      <c r="AK47" s="230"/>
      <c r="AL47" s="230"/>
      <c r="AM47" s="230"/>
      <c r="AN47" s="230"/>
    </row>
    <row r="48">
      <c r="A48" s="262" t="s">
        <v>223</v>
      </c>
      <c r="B48" s="251">
        <f t="shared" ref="B48:R48" si="18">SUM(B49:B52)</f>
        <v>68</v>
      </c>
      <c r="C48" s="251">
        <f t="shared" si="18"/>
        <v>56</v>
      </c>
      <c r="D48" s="251">
        <f t="shared" si="18"/>
        <v>144</v>
      </c>
      <c r="E48" s="251">
        <f t="shared" si="18"/>
        <v>89</v>
      </c>
      <c r="F48" s="251">
        <f t="shared" si="18"/>
        <v>81</v>
      </c>
      <c r="G48" s="251">
        <f t="shared" si="18"/>
        <v>58</v>
      </c>
      <c r="H48" s="251">
        <f t="shared" si="18"/>
        <v>123</v>
      </c>
      <c r="I48" s="251">
        <f t="shared" si="18"/>
        <v>89</v>
      </c>
      <c r="J48" s="251">
        <f t="shared" si="18"/>
        <v>71</v>
      </c>
      <c r="K48" s="251">
        <f t="shared" si="18"/>
        <v>77</v>
      </c>
      <c r="L48" s="251">
        <f t="shared" si="18"/>
        <v>76</v>
      </c>
      <c r="M48" s="251">
        <f t="shared" si="18"/>
        <v>69</v>
      </c>
      <c r="N48" s="251">
        <f t="shared" si="18"/>
        <v>101</v>
      </c>
      <c r="O48" s="251">
        <f t="shared" si="18"/>
        <v>68</v>
      </c>
      <c r="P48" s="251">
        <f t="shared" si="18"/>
        <v>47</v>
      </c>
      <c r="Q48" s="251">
        <f t="shared" si="18"/>
        <v>34</v>
      </c>
      <c r="R48" s="251">
        <f t="shared" si="18"/>
        <v>76</v>
      </c>
      <c r="S48" s="252">
        <f t="shared" ref="S48:T48" si="19">SUM(S49:S53)</f>
        <v>76</v>
      </c>
      <c r="T48" s="252">
        <f t="shared" si="19"/>
        <v>89</v>
      </c>
      <c r="U48" s="253"/>
      <c r="V48" s="254"/>
      <c r="W48" s="254"/>
      <c r="X48" s="254"/>
      <c r="Y48" s="254"/>
      <c r="Z48" s="254"/>
      <c r="AA48" s="254"/>
      <c r="AB48" s="254"/>
      <c r="AC48" s="254"/>
      <c r="AD48" s="230"/>
      <c r="AE48" s="230"/>
      <c r="AF48" s="230"/>
      <c r="AG48" s="230"/>
      <c r="AH48" s="230"/>
      <c r="AI48" s="230"/>
      <c r="AJ48" s="230"/>
      <c r="AK48" s="230"/>
      <c r="AL48" s="230"/>
      <c r="AM48" s="230"/>
      <c r="AN48" s="230"/>
    </row>
    <row r="49">
      <c r="A49" s="131" t="s">
        <v>218</v>
      </c>
      <c r="B49" s="263">
        <v>8.0</v>
      </c>
      <c r="C49" s="264">
        <v>14.0</v>
      </c>
      <c r="D49" s="264">
        <v>34.0</v>
      </c>
      <c r="E49" s="264">
        <v>34.0</v>
      </c>
      <c r="F49" s="264">
        <v>26.0</v>
      </c>
      <c r="G49" s="264">
        <v>29.0</v>
      </c>
      <c r="H49" s="264">
        <v>55.0</v>
      </c>
      <c r="I49" s="264">
        <v>21.0</v>
      </c>
      <c r="J49" s="264">
        <v>29.0</v>
      </c>
      <c r="K49" s="264">
        <v>22.0</v>
      </c>
      <c r="L49" s="264">
        <v>21.0</v>
      </c>
      <c r="M49" s="264">
        <v>13.0</v>
      </c>
      <c r="N49" s="264">
        <v>29.0</v>
      </c>
      <c r="O49" s="264">
        <v>34.0</v>
      </c>
      <c r="P49" s="264">
        <v>34.0</v>
      </c>
      <c r="Q49" s="264">
        <v>21.0</v>
      </c>
      <c r="R49" s="264">
        <v>21.0</v>
      </c>
      <c r="S49" s="265">
        <v>55.0</v>
      </c>
      <c r="T49" s="216"/>
      <c r="U49" s="217"/>
      <c r="V49" s="216"/>
      <c r="W49" s="216"/>
      <c r="X49" s="216"/>
      <c r="Y49" s="216"/>
      <c r="Z49" s="216"/>
      <c r="AA49" s="216"/>
      <c r="AB49" s="216"/>
      <c r="AC49" s="216"/>
      <c r="AD49" s="216"/>
      <c r="AE49" s="216"/>
      <c r="AF49" s="216"/>
      <c r="AG49" s="216"/>
      <c r="AH49" s="216"/>
      <c r="AI49" s="216"/>
      <c r="AJ49" s="216"/>
      <c r="AK49" s="216"/>
      <c r="AL49" s="216"/>
      <c r="AM49" s="216"/>
      <c r="AN49" s="216"/>
    </row>
    <row r="50">
      <c r="A50" s="131" t="s">
        <v>219</v>
      </c>
      <c r="B50" s="263">
        <v>26.0</v>
      </c>
      <c r="C50" s="264">
        <v>8.0</v>
      </c>
      <c r="D50" s="264">
        <v>55.0</v>
      </c>
      <c r="E50" s="264">
        <v>34.0</v>
      </c>
      <c r="F50" s="264">
        <v>34.0</v>
      </c>
      <c r="G50" s="264">
        <v>13.0</v>
      </c>
      <c r="H50" s="264">
        <v>34.0</v>
      </c>
      <c r="I50" s="264">
        <v>34.0</v>
      </c>
      <c r="J50" s="264">
        <v>21.0</v>
      </c>
      <c r="K50" s="264">
        <v>34.0</v>
      </c>
      <c r="L50" s="264">
        <v>21.0</v>
      </c>
      <c r="M50" s="264">
        <v>35.0</v>
      </c>
      <c r="N50" s="264">
        <v>29.0</v>
      </c>
      <c r="O50" s="264"/>
      <c r="P50" s="264">
        <v>13.0</v>
      </c>
      <c r="Q50" s="264">
        <v>13.0</v>
      </c>
      <c r="R50" s="264">
        <v>21.0</v>
      </c>
      <c r="S50" s="216"/>
      <c r="T50" s="265">
        <v>34.0</v>
      </c>
      <c r="U50" s="217"/>
      <c r="V50" s="216"/>
      <c r="W50" s="216"/>
      <c r="X50" s="216"/>
      <c r="Y50" s="216"/>
      <c r="Z50" s="216"/>
      <c r="AA50" s="216"/>
      <c r="AB50" s="216"/>
      <c r="AC50" s="216"/>
      <c r="AD50" s="216"/>
      <c r="AE50" s="216"/>
      <c r="AF50" s="216"/>
      <c r="AG50" s="216"/>
      <c r="AH50" s="216"/>
      <c r="AI50" s="216"/>
      <c r="AJ50" s="216"/>
      <c r="AK50" s="216"/>
      <c r="AL50" s="216"/>
      <c r="AM50" s="216"/>
      <c r="AN50" s="216"/>
    </row>
    <row r="51" hidden="1">
      <c r="A51" s="131" t="s">
        <v>220</v>
      </c>
      <c r="B51" s="263">
        <v>34.0</v>
      </c>
      <c r="C51" s="264">
        <v>34.0</v>
      </c>
      <c r="D51" s="264">
        <v>55.0</v>
      </c>
      <c r="E51" s="264">
        <v>21.0</v>
      </c>
      <c r="F51" s="264">
        <v>21.0</v>
      </c>
      <c r="G51" s="264">
        <v>16.0</v>
      </c>
      <c r="H51" s="264">
        <v>34.0</v>
      </c>
      <c r="I51" s="264">
        <v>34.0</v>
      </c>
      <c r="J51" s="264">
        <v>21.0</v>
      </c>
      <c r="K51" s="264">
        <v>21.0</v>
      </c>
      <c r="L51" s="264">
        <v>34.0</v>
      </c>
      <c r="M51" s="264">
        <v>21.0</v>
      </c>
      <c r="N51" s="264">
        <v>22.0</v>
      </c>
      <c r="O51" s="266"/>
      <c r="P51" s="266"/>
      <c r="Q51" s="266"/>
      <c r="R51" s="266"/>
      <c r="S51" s="216"/>
      <c r="T51" s="216"/>
      <c r="U51" s="217"/>
      <c r="V51" s="216"/>
      <c r="W51" s="216"/>
      <c r="X51" s="216"/>
      <c r="Y51" s="216"/>
      <c r="Z51" s="216"/>
      <c r="AA51" s="216"/>
      <c r="AB51" s="216"/>
      <c r="AC51" s="216"/>
      <c r="AD51" s="216"/>
      <c r="AE51" s="216"/>
      <c r="AF51" s="216"/>
      <c r="AG51" s="216"/>
      <c r="AH51" s="216"/>
      <c r="AI51" s="216"/>
      <c r="AJ51" s="216"/>
      <c r="AK51" s="216"/>
      <c r="AL51" s="216"/>
      <c r="AM51" s="216"/>
      <c r="AN51" s="216"/>
    </row>
    <row r="52">
      <c r="A52" s="131" t="s">
        <v>221</v>
      </c>
      <c r="B52" s="267"/>
      <c r="C52" s="266"/>
      <c r="D52" s="266"/>
      <c r="E52" s="266"/>
      <c r="F52" s="266"/>
      <c r="G52" s="266"/>
      <c r="H52" s="266"/>
      <c r="I52" s="266"/>
      <c r="J52" s="266"/>
      <c r="K52" s="266"/>
      <c r="L52" s="266"/>
      <c r="M52" s="266"/>
      <c r="N52" s="264">
        <v>21.0</v>
      </c>
      <c r="O52" s="264">
        <v>34.0</v>
      </c>
      <c r="P52" s="264">
        <v>0.0</v>
      </c>
      <c r="Q52" s="264">
        <v>0.0</v>
      </c>
      <c r="R52" s="264">
        <v>34.0</v>
      </c>
      <c r="S52" s="265">
        <v>21.0</v>
      </c>
      <c r="T52" s="265">
        <v>55.0</v>
      </c>
      <c r="U52" s="217"/>
      <c r="V52" s="216"/>
      <c r="W52" s="216"/>
      <c r="X52" s="216"/>
      <c r="Y52" s="216"/>
      <c r="Z52" s="216"/>
      <c r="AA52" s="216"/>
      <c r="AB52" s="216"/>
      <c r="AC52" s="216"/>
      <c r="AD52" s="216"/>
      <c r="AE52" s="216"/>
      <c r="AF52" s="216"/>
      <c r="AG52" s="216"/>
      <c r="AH52" s="216"/>
      <c r="AI52" s="216"/>
      <c r="AJ52" s="216"/>
      <c r="AK52" s="216"/>
      <c r="AL52" s="216"/>
      <c r="AM52" s="216"/>
      <c r="AN52" s="216"/>
    </row>
    <row r="53">
      <c r="A53" s="131" t="s">
        <v>222</v>
      </c>
      <c r="B53" s="267"/>
      <c r="C53" s="266"/>
      <c r="D53" s="266"/>
      <c r="E53" s="266"/>
      <c r="F53" s="266"/>
      <c r="G53" s="266"/>
      <c r="H53" s="266"/>
      <c r="I53" s="266"/>
      <c r="J53" s="266"/>
      <c r="K53" s="266"/>
      <c r="L53" s="266"/>
      <c r="M53" s="266"/>
      <c r="N53" s="264"/>
      <c r="O53" s="264"/>
      <c r="P53" s="264"/>
      <c r="Q53" s="264"/>
      <c r="R53" s="264"/>
      <c r="S53" s="216"/>
      <c r="T53" s="216"/>
      <c r="U53" s="217"/>
      <c r="V53" s="216"/>
      <c r="W53" s="216"/>
      <c r="X53" s="216"/>
      <c r="Y53" s="216"/>
      <c r="Z53" s="216"/>
      <c r="AA53" s="216"/>
      <c r="AB53" s="216"/>
      <c r="AC53" s="216"/>
      <c r="AD53" s="216"/>
      <c r="AE53" s="216"/>
      <c r="AF53" s="216"/>
      <c r="AG53" s="216"/>
      <c r="AH53" s="216"/>
      <c r="AI53" s="216"/>
      <c r="AJ53" s="216"/>
      <c r="AK53" s="216"/>
      <c r="AL53" s="216"/>
      <c r="AM53" s="216"/>
      <c r="AN53" s="216"/>
    </row>
    <row r="54">
      <c r="A54" s="262" t="s">
        <v>224</v>
      </c>
      <c r="B54" s="251">
        <f t="shared" ref="B54:R54" si="20">SUM(B55:B58)</f>
        <v>68</v>
      </c>
      <c r="C54" s="251">
        <f t="shared" si="20"/>
        <v>56</v>
      </c>
      <c r="D54" s="251">
        <f t="shared" si="20"/>
        <v>144</v>
      </c>
      <c r="E54" s="251">
        <f t="shared" si="20"/>
        <v>89</v>
      </c>
      <c r="F54" s="251">
        <f t="shared" si="20"/>
        <v>81</v>
      </c>
      <c r="G54" s="251">
        <f t="shared" si="20"/>
        <v>37</v>
      </c>
      <c r="H54" s="251">
        <f t="shared" si="20"/>
        <v>123</v>
      </c>
      <c r="I54" s="251">
        <f t="shared" si="20"/>
        <v>89</v>
      </c>
      <c r="J54" s="251">
        <f t="shared" si="20"/>
        <v>81</v>
      </c>
      <c r="K54" s="251">
        <f t="shared" si="20"/>
        <v>43</v>
      </c>
      <c r="L54" s="251">
        <f t="shared" si="20"/>
        <v>76</v>
      </c>
      <c r="M54" s="251">
        <f t="shared" si="20"/>
        <v>76</v>
      </c>
      <c r="N54" s="251">
        <f t="shared" si="20"/>
        <v>101</v>
      </c>
      <c r="O54" s="251">
        <f t="shared" si="20"/>
        <v>68</v>
      </c>
      <c r="P54" s="251">
        <f t="shared" si="20"/>
        <v>47</v>
      </c>
      <c r="Q54" s="251">
        <f t="shared" si="20"/>
        <v>34</v>
      </c>
      <c r="R54" s="251">
        <f t="shared" si="20"/>
        <v>76</v>
      </c>
      <c r="S54" s="252">
        <f t="shared" ref="S54:T54" si="21">SUM(S55:S59)</f>
        <v>76</v>
      </c>
      <c r="T54" s="252">
        <f t="shared" si="21"/>
        <v>21</v>
      </c>
      <c r="U54" s="253"/>
      <c r="V54" s="254"/>
      <c r="W54" s="254"/>
      <c r="X54" s="254"/>
      <c r="Y54" s="254"/>
      <c r="Z54" s="254"/>
      <c r="AA54" s="254"/>
      <c r="AB54" s="254"/>
      <c r="AC54" s="254"/>
      <c r="AD54" s="230"/>
      <c r="AE54" s="230"/>
      <c r="AF54" s="230"/>
      <c r="AG54" s="230"/>
      <c r="AH54" s="230"/>
      <c r="AI54" s="230"/>
      <c r="AJ54" s="230"/>
      <c r="AK54" s="230"/>
      <c r="AL54" s="230"/>
      <c r="AM54" s="230"/>
      <c r="AN54" s="230"/>
    </row>
    <row r="55">
      <c r="A55" s="131" t="s">
        <v>218</v>
      </c>
      <c r="B55" s="263">
        <v>8.0</v>
      </c>
      <c r="C55" s="264">
        <v>14.0</v>
      </c>
      <c r="D55" s="264">
        <v>34.0</v>
      </c>
      <c r="E55" s="199">
        <v>34.0</v>
      </c>
      <c r="F55" s="264">
        <v>26.0</v>
      </c>
      <c r="G55" s="264">
        <v>8.0</v>
      </c>
      <c r="H55" s="264">
        <v>55.0</v>
      </c>
      <c r="I55" s="264">
        <v>21.0</v>
      </c>
      <c r="J55" s="264">
        <v>39.0</v>
      </c>
      <c r="K55" s="264">
        <v>22.0</v>
      </c>
      <c r="L55" s="264">
        <v>21.0</v>
      </c>
      <c r="M55" s="264">
        <v>13.0</v>
      </c>
      <c r="N55" s="264">
        <v>29.0</v>
      </c>
      <c r="O55" s="264">
        <v>34.0</v>
      </c>
      <c r="P55" s="264">
        <v>34.0</v>
      </c>
      <c r="Q55" s="264">
        <v>21.0</v>
      </c>
      <c r="R55" s="264">
        <v>21.0</v>
      </c>
      <c r="S55" s="265">
        <v>55.0</v>
      </c>
      <c r="T55" s="216"/>
      <c r="U55" s="217"/>
      <c r="V55" s="216"/>
      <c r="W55" s="216"/>
      <c r="X55" s="216"/>
      <c r="Y55" s="216"/>
      <c r="Z55" s="216"/>
      <c r="AA55" s="216"/>
      <c r="AB55" s="216"/>
      <c r="AC55" s="216"/>
      <c r="AD55" s="216"/>
      <c r="AE55" s="216"/>
      <c r="AF55" s="216"/>
      <c r="AG55" s="216"/>
      <c r="AH55" s="216"/>
      <c r="AI55" s="216"/>
      <c r="AJ55" s="216"/>
      <c r="AK55" s="216"/>
      <c r="AL55" s="216"/>
      <c r="AM55" s="216"/>
      <c r="AN55" s="216"/>
    </row>
    <row r="56">
      <c r="A56" s="131" t="s">
        <v>219</v>
      </c>
      <c r="B56" s="263">
        <v>26.0</v>
      </c>
      <c r="C56" s="264">
        <v>8.0</v>
      </c>
      <c r="D56" s="264">
        <v>55.0</v>
      </c>
      <c r="E56" s="199">
        <v>34.0</v>
      </c>
      <c r="F56" s="264">
        <v>34.0</v>
      </c>
      <c r="G56" s="264">
        <v>13.0</v>
      </c>
      <c r="H56" s="264">
        <v>34.0</v>
      </c>
      <c r="I56" s="264">
        <v>34.0</v>
      </c>
      <c r="J56" s="264">
        <v>21.0</v>
      </c>
      <c r="K56" s="264">
        <v>0.0</v>
      </c>
      <c r="L56" s="264">
        <v>21.0</v>
      </c>
      <c r="M56" s="264">
        <v>35.0</v>
      </c>
      <c r="N56" s="264">
        <v>29.0</v>
      </c>
      <c r="O56" s="266"/>
      <c r="P56" s="264">
        <v>13.0</v>
      </c>
      <c r="Q56" s="264">
        <v>13.0</v>
      </c>
      <c r="R56" s="264">
        <v>21.0</v>
      </c>
      <c r="S56" s="265">
        <v>0.0</v>
      </c>
      <c r="T56" s="265">
        <v>0.0</v>
      </c>
      <c r="U56" s="217"/>
      <c r="V56" s="216"/>
      <c r="W56" s="216"/>
      <c r="X56" s="216"/>
      <c r="Y56" s="216"/>
      <c r="Z56" s="216"/>
      <c r="AA56" s="216"/>
      <c r="AB56" s="216"/>
      <c r="AC56" s="216"/>
      <c r="AD56" s="216"/>
      <c r="AE56" s="216"/>
      <c r="AF56" s="216"/>
      <c r="AG56" s="216"/>
      <c r="AH56" s="216"/>
      <c r="AI56" s="216"/>
      <c r="AJ56" s="216"/>
      <c r="AK56" s="216"/>
      <c r="AL56" s="216"/>
      <c r="AM56" s="216"/>
      <c r="AN56" s="216"/>
    </row>
    <row r="57" hidden="1">
      <c r="A57" s="131" t="s">
        <v>220</v>
      </c>
      <c r="B57" s="263">
        <v>34.0</v>
      </c>
      <c r="C57" s="264">
        <v>34.0</v>
      </c>
      <c r="D57" s="264">
        <v>55.0</v>
      </c>
      <c r="E57" s="199">
        <v>21.0</v>
      </c>
      <c r="F57" s="264">
        <v>21.0</v>
      </c>
      <c r="G57" s="264">
        <v>16.0</v>
      </c>
      <c r="H57" s="264">
        <v>34.0</v>
      </c>
      <c r="I57" s="264">
        <v>34.0</v>
      </c>
      <c r="J57" s="264">
        <v>21.0</v>
      </c>
      <c r="K57" s="264">
        <v>21.0</v>
      </c>
      <c r="L57" s="264">
        <v>34.0</v>
      </c>
      <c r="M57" s="264">
        <v>28.0</v>
      </c>
      <c r="N57" s="264">
        <v>22.0</v>
      </c>
      <c r="O57" s="264">
        <v>34.0</v>
      </c>
      <c r="P57" s="266"/>
      <c r="Q57" s="266"/>
      <c r="R57" s="266"/>
      <c r="S57" s="216"/>
      <c r="T57" s="216"/>
      <c r="U57" s="217"/>
      <c r="V57" s="216"/>
      <c r="W57" s="216"/>
      <c r="X57" s="216"/>
      <c r="Y57" s="216"/>
      <c r="Z57" s="216"/>
      <c r="AA57" s="216"/>
      <c r="AB57" s="216"/>
      <c r="AC57" s="216"/>
      <c r="AD57" s="216"/>
      <c r="AE57" s="216"/>
      <c r="AF57" s="216"/>
      <c r="AG57" s="216"/>
      <c r="AH57" s="216"/>
      <c r="AI57" s="216"/>
      <c r="AJ57" s="216"/>
      <c r="AK57" s="216"/>
      <c r="AL57" s="216"/>
      <c r="AM57" s="216"/>
      <c r="AN57" s="216"/>
    </row>
    <row r="58">
      <c r="A58" s="131" t="s">
        <v>221</v>
      </c>
      <c r="B58" s="268"/>
      <c r="C58" s="269"/>
      <c r="D58" s="269"/>
      <c r="E58" s="269"/>
      <c r="F58" s="269"/>
      <c r="G58" s="269"/>
      <c r="H58" s="269"/>
      <c r="I58" s="269"/>
      <c r="J58" s="269"/>
      <c r="K58" s="269"/>
      <c r="L58" s="269"/>
      <c r="M58" s="269"/>
      <c r="N58" s="264">
        <v>21.0</v>
      </c>
      <c r="O58" s="269"/>
      <c r="P58" s="264">
        <v>0.0</v>
      </c>
      <c r="Q58" s="264">
        <v>0.0</v>
      </c>
      <c r="R58" s="270">
        <v>34.0</v>
      </c>
      <c r="S58" s="271">
        <v>21.0</v>
      </c>
      <c r="T58" s="271">
        <v>21.0</v>
      </c>
      <c r="U58" s="272"/>
      <c r="V58" s="273"/>
      <c r="W58" s="273"/>
      <c r="X58" s="273"/>
      <c r="Y58" s="273"/>
      <c r="Z58" s="273"/>
      <c r="AA58" s="273"/>
      <c r="AB58" s="273"/>
      <c r="AC58" s="273"/>
      <c r="AD58" s="273"/>
      <c r="AE58" s="273"/>
      <c r="AF58" s="273"/>
      <c r="AG58" s="273"/>
      <c r="AH58" s="273"/>
      <c r="AI58" s="273"/>
      <c r="AJ58" s="273"/>
      <c r="AK58" s="273"/>
      <c r="AL58" s="273"/>
      <c r="AM58" s="273"/>
      <c r="AN58" s="273"/>
    </row>
    <row r="59">
      <c r="A59" s="131" t="s">
        <v>222</v>
      </c>
      <c r="B59" s="268"/>
      <c r="C59" s="269"/>
      <c r="D59" s="269"/>
      <c r="E59" s="269"/>
      <c r="F59" s="269"/>
      <c r="G59" s="269"/>
      <c r="H59" s="269"/>
      <c r="I59" s="269"/>
      <c r="J59" s="269"/>
      <c r="K59" s="269"/>
      <c r="L59" s="269"/>
      <c r="M59" s="269"/>
      <c r="N59" s="264"/>
      <c r="O59" s="269"/>
      <c r="P59" s="264"/>
      <c r="Q59" s="264"/>
      <c r="R59" s="270"/>
      <c r="S59" s="273"/>
      <c r="T59" s="273"/>
      <c r="U59" s="272"/>
      <c r="V59" s="273"/>
      <c r="W59" s="273"/>
      <c r="X59" s="273"/>
      <c r="Y59" s="273"/>
      <c r="Z59" s="273"/>
      <c r="AA59" s="273"/>
      <c r="AB59" s="273"/>
      <c r="AC59" s="273"/>
      <c r="AD59" s="273"/>
      <c r="AE59" s="273"/>
      <c r="AF59" s="273"/>
      <c r="AG59" s="273"/>
      <c r="AH59" s="273"/>
      <c r="AI59" s="273"/>
      <c r="AJ59" s="273"/>
      <c r="AK59" s="273"/>
      <c r="AL59" s="273"/>
      <c r="AM59" s="273"/>
      <c r="AN59" s="273"/>
    </row>
    <row r="60">
      <c r="A60" s="262" t="s">
        <v>225</v>
      </c>
      <c r="B60" s="251"/>
      <c r="C60" s="251"/>
      <c r="D60" s="251"/>
      <c r="E60" s="251"/>
      <c r="F60" s="251"/>
      <c r="G60" s="251"/>
      <c r="H60" s="251"/>
      <c r="I60" s="251"/>
      <c r="J60" s="251"/>
      <c r="K60" s="251"/>
      <c r="L60" s="251"/>
      <c r="M60" s="251"/>
      <c r="N60" s="251"/>
      <c r="O60" s="251"/>
      <c r="P60" s="251"/>
      <c r="Q60" s="251"/>
      <c r="R60" s="251"/>
      <c r="S60" s="252"/>
      <c r="T60" s="252"/>
      <c r="U60" s="253"/>
      <c r="V60" s="254"/>
      <c r="W60" s="254"/>
      <c r="X60" s="254"/>
      <c r="Y60" s="254"/>
      <c r="Z60" s="254"/>
      <c r="AA60" s="254"/>
      <c r="AB60" s="254"/>
      <c r="AC60" s="254"/>
      <c r="AD60" s="230"/>
      <c r="AE60" s="230"/>
      <c r="AF60" s="230"/>
      <c r="AG60" s="230"/>
      <c r="AH60" s="230"/>
      <c r="AI60" s="230"/>
      <c r="AJ60" s="230"/>
      <c r="AK60" s="230"/>
      <c r="AL60" s="230"/>
      <c r="AM60" s="230"/>
      <c r="AN60" s="230"/>
    </row>
    <row r="61">
      <c r="B61" s="267"/>
      <c r="C61" s="266"/>
      <c r="D61" s="266"/>
      <c r="E61" s="266"/>
      <c r="F61" s="266"/>
      <c r="G61" s="266"/>
      <c r="H61" s="266"/>
      <c r="I61" s="266"/>
      <c r="J61" s="266"/>
      <c r="K61" s="266"/>
      <c r="L61" s="266"/>
      <c r="M61" s="266"/>
      <c r="N61" s="266"/>
      <c r="O61" s="266"/>
      <c r="P61" s="266"/>
      <c r="Q61" s="266"/>
      <c r="R61" s="266"/>
      <c r="S61" s="216"/>
      <c r="T61" s="216"/>
      <c r="U61" s="217"/>
      <c r="V61" s="216"/>
      <c r="W61" s="216"/>
      <c r="X61" s="216"/>
      <c r="Y61" s="216"/>
      <c r="Z61" s="216"/>
      <c r="AA61" s="216"/>
      <c r="AB61" s="216"/>
      <c r="AC61" s="216"/>
      <c r="AD61" s="216"/>
      <c r="AE61" s="216"/>
      <c r="AF61" s="216"/>
      <c r="AG61" s="216"/>
      <c r="AH61" s="216"/>
      <c r="AI61" s="216"/>
      <c r="AJ61" s="216"/>
      <c r="AK61" s="216"/>
      <c r="AL61" s="216"/>
      <c r="AM61" s="216"/>
      <c r="AN61" s="216"/>
    </row>
    <row r="62">
      <c r="B62" s="274"/>
      <c r="C62" s="274"/>
      <c r="D62" s="274"/>
      <c r="E62" s="274"/>
      <c r="F62" s="274"/>
      <c r="G62" s="274"/>
      <c r="H62" s="274"/>
      <c r="I62" s="274"/>
      <c r="J62" s="274"/>
      <c r="K62" s="274"/>
      <c r="L62" s="274"/>
      <c r="M62" s="266"/>
      <c r="N62" s="266"/>
      <c r="O62" s="266"/>
      <c r="P62" s="266"/>
      <c r="Q62" s="266"/>
      <c r="R62" s="266"/>
      <c r="S62" s="216"/>
      <c r="T62" s="216"/>
      <c r="U62" s="217"/>
      <c r="V62" s="216"/>
      <c r="W62" s="216"/>
      <c r="X62" s="216"/>
      <c r="Y62" s="216"/>
      <c r="Z62" s="216"/>
      <c r="AA62" s="216"/>
      <c r="AB62" s="216"/>
      <c r="AC62" s="216"/>
      <c r="AD62" s="216"/>
      <c r="AE62" s="216"/>
      <c r="AF62" s="216"/>
      <c r="AG62" s="216"/>
      <c r="AH62" s="216"/>
      <c r="AI62" s="216"/>
      <c r="AJ62" s="216"/>
      <c r="AK62" s="216"/>
      <c r="AL62" s="216"/>
      <c r="AM62" s="216"/>
      <c r="AN62" s="216"/>
    </row>
    <row r="63">
      <c r="B63" s="267"/>
      <c r="C63" s="266"/>
      <c r="D63" s="266"/>
      <c r="E63" s="266"/>
      <c r="F63" s="266"/>
      <c r="G63" s="266"/>
      <c r="H63" s="266"/>
      <c r="I63" s="266"/>
      <c r="J63" s="266"/>
      <c r="K63" s="266"/>
      <c r="L63" s="266"/>
      <c r="M63" s="266"/>
      <c r="N63" s="266"/>
      <c r="O63" s="266"/>
      <c r="P63" s="266"/>
      <c r="Q63" s="266"/>
      <c r="R63" s="266"/>
      <c r="S63" s="216"/>
      <c r="T63" s="216"/>
      <c r="U63" s="217"/>
      <c r="V63" s="216"/>
      <c r="W63" s="216"/>
      <c r="X63" s="216"/>
      <c r="Y63" s="216"/>
      <c r="Z63" s="216"/>
      <c r="AA63" s="216"/>
      <c r="AB63" s="216"/>
      <c r="AC63" s="216"/>
      <c r="AD63" s="216"/>
      <c r="AE63" s="216"/>
      <c r="AF63" s="216"/>
      <c r="AG63" s="216"/>
      <c r="AH63" s="216"/>
      <c r="AI63" s="216"/>
      <c r="AJ63" s="216"/>
      <c r="AK63" s="216"/>
      <c r="AL63" s="216"/>
      <c r="AM63" s="216"/>
      <c r="AN63" s="216"/>
    </row>
    <row r="64">
      <c r="B64" s="267"/>
      <c r="C64" s="266"/>
      <c r="D64" s="266"/>
      <c r="E64" s="266"/>
      <c r="F64" s="266"/>
      <c r="G64" s="266"/>
      <c r="H64" s="266"/>
      <c r="I64" s="266"/>
      <c r="J64" s="266"/>
      <c r="K64" s="266"/>
      <c r="L64" s="266"/>
      <c r="M64" s="266"/>
      <c r="N64" s="266"/>
      <c r="O64" s="266"/>
      <c r="P64" s="266"/>
      <c r="Q64" s="266"/>
      <c r="R64" s="266"/>
      <c r="S64" s="216"/>
      <c r="T64" s="216"/>
      <c r="U64" s="217"/>
      <c r="V64" s="216"/>
      <c r="W64" s="216"/>
      <c r="X64" s="216"/>
      <c r="Y64" s="216"/>
      <c r="Z64" s="216"/>
      <c r="AA64" s="216"/>
      <c r="AB64" s="216"/>
      <c r="AC64" s="216"/>
      <c r="AD64" s="216"/>
      <c r="AE64" s="216"/>
      <c r="AF64" s="216"/>
      <c r="AG64" s="216"/>
      <c r="AH64" s="216"/>
      <c r="AI64" s="216"/>
      <c r="AJ64" s="216"/>
      <c r="AK64" s="216"/>
      <c r="AL64" s="216"/>
      <c r="AM64" s="216"/>
      <c r="AN64" s="216"/>
    </row>
    <row r="65">
      <c r="B65" s="267"/>
      <c r="C65" s="266"/>
      <c r="D65" s="266"/>
      <c r="E65" s="266"/>
      <c r="F65" s="266"/>
      <c r="G65" s="266"/>
      <c r="H65" s="266"/>
      <c r="I65" s="266"/>
      <c r="J65" s="266"/>
      <c r="K65" s="266"/>
      <c r="L65" s="266"/>
      <c r="M65" s="266"/>
      <c r="N65" s="266"/>
      <c r="O65" s="266"/>
      <c r="P65" s="266"/>
      <c r="Q65" s="266"/>
      <c r="R65" s="266"/>
      <c r="S65" s="216"/>
      <c r="T65" s="216"/>
      <c r="U65" s="217"/>
      <c r="V65" s="216"/>
      <c r="W65" s="216"/>
      <c r="X65" s="216"/>
      <c r="Y65" s="216"/>
      <c r="Z65" s="216"/>
      <c r="AA65" s="216"/>
      <c r="AB65" s="216"/>
      <c r="AC65" s="216"/>
      <c r="AD65" s="216"/>
      <c r="AE65" s="216"/>
      <c r="AF65" s="216"/>
      <c r="AG65" s="216"/>
      <c r="AH65" s="216"/>
      <c r="AI65" s="216"/>
      <c r="AJ65" s="216"/>
      <c r="AK65" s="216"/>
      <c r="AL65" s="216"/>
      <c r="AM65" s="216"/>
      <c r="AN65" s="216"/>
    </row>
    <row r="66">
      <c r="B66" s="267"/>
      <c r="C66" s="266"/>
      <c r="D66" s="266"/>
      <c r="E66" s="266"/>
      <c r="F66" s="266"/>
      <c r="G66" s="266"/>
      <c r="H66" s="266"/>
      <c r="I66" s="266"/>
      <c r="J66" s="266"/>
      <c r="K66" s="266"/>
      <c r="L66" s="266"/>
      <c r="M66" s="266"/>
      <c r="N66" s="266"/>
      <c r="O66" s="266"/>
      <c r="P66" s="266"/>
      <c r="Q66" s="266"/>
      <c r="R66" s="266"/>
      <c r="S66" s="216"/>
      <c r="T66" s="216"/>
      <c r="U66" s="217"/>
      <c r="V66" s="216"/>
      <c r="W66" s="216"/>
      <c r="X66" s="216"/>
      <c r="Y66" s="216"/>
      <c r="Z66" s="216"/>
      <c r="AA66" s="216"/>
      <c r="AB66" s="216"/>
      <c r="AC66" s="216"/>
      <c r="AD66" s="216"/>
      <c r="AE66" s="216"/>
      <c r="AF66" s="216"/>
      <c r="AG66" s="216"/>
      <c r="AH66" s="216"/>
      <c r="AI66" s="216"/>
      <c r="AJ66" s="216"/>
      <c r="AK66" s="216"/>
      <c r="AL66" s="216"/>
      <c r="AM66" s="216"/>
      <c r="AN66" s="216"/>
    </row>
    <row r="67">
      <c r="B67" s="267"/>
      <c r="C67" s="266"/>
      <c r="D67" s="266"/>
      <c r="E67" s="266"/>
      <c r="F67" s="266"/>
      <c r="G67" s="266"/>
      <c r="H67" s="266"/>
      <c r="I67" s="266"/>
      <c r="J67" s="266"/>
      <c r="K67" s="266"/>
      <c r="L67" s="266"/>
      <c r="M67" s="266"/>
      <c r="N67" s="266"/>
      <c r="O67" s="266"/>
      <c r="P67" s="266"/>
      <c r="Q67" s="266"/>
      <c r="R67" s="266"/>
      <c r="S67" s="216"/>
      <c r="T67" s="216"/>
      <c r="U67" s="217"/>
      <c r="V67" s="216"/>
      <c r="W67" s="216"/>
      <c r="X67" s="216"/>
      <c r="Y67" s="216"/>
      <c r="Z67" s="216"/>
      <c r="AA67" s="216"/>
      <c r="AB67" s="216"/>
      <c r="AC67" s="216"/>
      <c r="AD67" s="216"/>
      <c r="AE67" s="216"/>
      <c r="AF67" s="216"/>
      <c r="AG67" s="216"/>
      <c r="AH67" s="216"/>
      <c r="AI67" s="216"/>
      <c r="AJ67" s="216"/>
      <c r="AK67" s="216"/>
      <c r="AL67" s="216"/>
      <c r="AM67" s="216"/>
      <c r="AN67" s="216"/>
    </row>
    <row r="68">
      <c r="B68" s="267"/>
      <c r="C68" s="266"/>
      <c r="D68" s="266"/>
      <c r="E68" s="266"/>
      <c r="F68" s="266"/>
      <c r="G68" s="266"/>
      <c r="H68" s="266"/>
      <c r="I68" s="266"/>
      <c r="J68" s="266"/>
      <c r="K68" s="266"/>
      <c r="L68" s="266"/>
      <c r="M68" s="266"/>
      <c r="N68" s="266"/>
      <c r="O68" s="266"/>
      <c r="P68" s="266"/>
      <c r="Q68" s="266"/>
      <c r="R68" s="266"/>
      <c r="S68" s="216"/>
      <c r="T68" s="216"/>
      <c r="U68" s="217"/>
      <c r="V68" s="216"/>
      <c r="W68" s="216"/>
      <c r="X68" s="216"/>
      <c r="Y68" s="216"/>
      <c r="Z68" s="216"/>
      <c r="AA68" s="216"/>
      <c r="AB68" s="216"/>
      <c r="AC68" s="216"/>
      <c r="AD68" s="216"/>
      <c r="AE68" s="216"/>
      <c r="AF68" s="216"/>
      <c r="AG68" s="216"/>
      <c r="AH68" s="216"/>
      <c r="AI68" s="216"/>
      <c r="AJ68" s="216"/>
      <c r="AK68" s="216"/>
      <c r="AL68" s="216"/>
      <c r="AM68" s="216"/>
      <c r="AN68" s="216"/>
    </row>
    <row r="69">
      <c r="B69" s="267"/>
      <c r="C69" s="266"/>
      <c r="D69" s="266"/>
      <c r="E69" s="266"/>
      <c r="F69" s="266"/>
      <c r="G69" s="266"/>
      <c r="H69" s="266"/>
      <c r="I69" s="266"/>
      <c r="J69" s="266"/>
      <c r="K69" s="266"/>
      <c r="L69" s="266"/>
      <c r="M69" s="266"/>
      <c r="N69" s="266"/>
      <c r="O69" s="266"/>
      <c r="P69" s="266"/>
      <c r="Q69" s="266"/>
      <c r="R69" s="266"/>
      <c r="S69" s="216"/>
      <c r="T69" s="216"/>
      <c r="U69" s="217"/>
      <c r="V69" s="216"/>
      <c r="W69" s="216"/>
      <c r="X69" s="216"/>
      <c r="Y69" s="216"/>
      <c r="Z69" s="216"/>
      <c r="AA69" s="216"/>
      <c r="AB69" s="216"/>
      <c r="AC69" s="216"/>
      <c r="AD69" s="216"/>
      <c r="AE69" s="216"/>
      <c r="AF69" s="216"/>
      <c r="AG69" s="216"/>
      <c r="AH69" s="216"/>
      <c r="AI69" s="216"/>
      <c r="AJ69" s="216"/>
      <c r="AK69" s="216"/>
      <c r="AL69" s="216"/>
      <c r="AM69" s="216"/>
      <c r="AN69" s="216"/>
    </row>
    <row r="70">
      <c r="B70" s="267"/>
      <c r="C70" s="266"/>
      <c r="D70" s="266"/>
      <c r="E70" s="266"/>
      <c r="F70" s="266"/>
      <c r="G70" s="266"/>
      <c r="H70" s="266"/>
      <c r="I70" s="266"/>
      <c r="J70" s="266"/>
      <c r="K70" s="266"/>
      <c r="L70" s="266"/>
      <c r="M70" s="266"/>
      <c r="N70" s="266"/>
      <c r="O70" s="266"/>
      <c r="P70" s="266"/>
      <c r="Q70" s="266"/>
      <c r="R70" s="266"/>
      <c r="S70" s="216"/>
      <c r="T70" s="216"/>
      <c r="U70" s="217"/>
      <c r="V70" s="216"/>
      <c r="W70" s="216"/>
      <c r="X70" s="216"/>
      <c r="Y70" s="216"/>
      <c r="Z70" s="216"/>
      <c r="AA70" s="216"/>
      <c r="AB70" s="216"/>
      <c r="AC70" s="216"/>
      <c r="AD70" s="216"/>
      <c r="AE70" s="216"/>
      <c r="AF70" s="216"/>
      <c r="AG70" s="216"/>
      <c r="AH70" s="216"/>
      <c r="AI70" s="216"/>
      <c r="AJ70" s="216"/>
      <c r="AK70" s="216"/>
      <c r="AL70" s="216"/>
      <c r="AM70" s="216"/>
      <c r="AN70" s="216"/>
    </row>
    <row r="71">
      <c r="B71" s="267"/>
      <c r="C71" s="266"/>
      <c r="D71" s="266"/>
      <c r="E71" s="266"/>
      <c r="F71" s="266"/>
      <c r="G71" s="266"/>
      <c r="H71" s="266"/>
      <c r="I71" s="266"/>
      <c r="J71" s="266"/>
      <c r="K71" s="266"/>
      <c r="L71" s="266"/>
      <c r="M71" s="266"/>
      <c r="N71" s="266"/>
      <c r="O71" s="266"/>
      <c r="P71" s="266"/>
      <c r="Q71" s="266"/>
      <c r="R71" s="266"/>
      <c r="S71" s="216"/>
      <c r="T71" s="216"/>
      <c r="U71" s="217"/>
      <c r="V71" s="216"/>
      <c r="W71" s="216"/>
      <c r="X71" s="216"/>
      <c r="Y71" s="216"/>
      <c r="Z71" s="216"/>
      <c r="AA71" s="216"/>
      <c r="AB71" s="216"/>
      <c r="AC71" s="216"/>
      <c r="AD71" s="216"/>
      <c r="AE71" s="216"/>
      <c r="AF71" s="216"/>
      <c r="AG71" s="216"/>
      <c r="AH71" s="216"/>
      <c r="AI71" s="216"/>
      <c r="AJ71" s="216"/>
      <c r="AK71" s="216"/>
      <c r="AL71" s="216"/>
      <c r="AM71" s="216"/>
      <c r="AN71" s="216"/>
    </row>
    <row r="72">
      <c r="B72" s="267"/>
      <c r="C72" s="266"/>
      <c r="D72" s="266"/>
      <c r="E72" s="266"/>
      <c r="F72" s="266"/>
      <c r="G72" s="266"/>
      <c r="H72" s="266"/>
      <c r="I72" s="266"/>
      <c r="J72" s="266"/>
      <c r="K72" s="266"/>
      <c r="L72" s="266"/>
      <c r="M72" s="266"/>
      <c r="N72" s="266"/>
      <c r="O72" s="266"/>
      <c r="P72" s="266"/>
      <c r="Q72" s="266"/>
      <c r="R72" s="266"/>
      <c r="S72" s="216"/>
      <c r="T72" s="216"/>
      <c r="U72" s="217"/>
      <c r="V72" s="216"/>
      <c r="W72" s="216"/>
      <c r="X72" s="216"/>
      <c r="Y72" s="216"/>
      <c r="Z72" s="216"/>
      <c r="AA72" s="216"/>
      <c r="AB72" s="216"/>
      <c r="AC72" s="216"/>
      <c r="AD72" s="216"/>
      <c r="AE72" s="216"/>
      <c r="AF72" s="216"/>
      <c r="AG72" s="216"/>
      <c r="AH72" s="216"/>
      <c r="AI72" s="216"/>
      <c r="AJ72" s="216"/>
      <c r="AK72" s="216"/>
      <c r="AL72" s="216"/>
      <c r="AM72" s="216"/>
      <c r="AN72" s="216"/>
    </row>
    <row r="73">
      <c r="B73" s="267"/>
      <c r="C73" s="266"/>
      <c r="D73" s="266"/>
      <c r="E73" s="266"/>
      <c r="F73" s="266"/>
      <c r="G73" s="266"/>
      <c r="H73" s="266"/>
      <c r="I73" s="266"/>
      <c r="J73" s="266"/>
      <c r="K73" s="266"/>
      <c r="L73" s="266"/>
      <c r="M73" s="266"/>
      <c r="N73" s="266"/>
      <c r="O73" s="266"/>
      <c r="P73" s="266"/>
      <c r="Q73" s="266"/>
      <c r="R73" s="266"/>
      <c r="S73" s="216"/>
      <c r="T73" s="216"/>
      <c r="U73" s="217"/>
      <c r="V73" s="216"/>
      <c r="W73" s="216"/>
      <c r="X73" s="216"/>
      <c r="Y73" s="216"/>
      <c r="Z73" s="216"/>
      <c r="AA73" s="216"/>
      <c r="AB73" s="216"/>
      <c r="AC73" s="216"/>
      <c r="AD73" s="216"/>
      <c r="AE73" s="216"/>
      <c r="AF73" s="216"/>
      <c r="AG73" s="216"/>
      <c r="AH73" s="216"/>
      <c r="AI73" s="216"/>
      <c r="AJ73" s="216"/>
      <c r="AK73" s="216"/>
      <c r="AL73" s="216"/>
      <c r="AM73" s="216"/>
      <c r="AN73" s="216"/>
    </row>
    <row r="74">
      <c r="B74" s="267"/>
      <c r="C74" s="266"/>
      <c r="D74" s="266"/>
      <c r="E74" s="266"/>
      <c r="F74" s="266"/>
      <c r="G74" s="266"/>
      <c r="H74" s="266"/>
      <c r="I74" s="266"/>
      <c r="J74" s="266"/>
      <c r="K74" s="266"/>
      <c r="L74" s="266"/>
      <c r="M74" s="266"/>
      <c r="N74" s="266"/>
      <c r="O74" s="266"/>
      <c r="P74" s="266"/>
      <c r="Q74" s="266"/>
      <c r="R74" s="266"/>
      <c r="S74" s="216"/>
      <c r="T74" s="216"/>
      <c r="U74" s="217"/>
      <c r="V74" s="216"/>
      <c r="W74" s="216"/>
      <c r="X74" s="216"/>
      <c r="Y74" s="216"/>
      <c r="Z74" s="216"/>
      <c r="AA74" s="216"/>
      <c r="AB74" s="216"/>
      <c r="AC74" s="216"/>
      <c r="AD74" s="216"/>
      <c r="AE74" s="216"/>
      <c r="AF74" s="216"/>
      <c r="AG74" s="216"/>
      <c r="AH74" s="216"/>
      <c r="AI74" s="216"/>
      <c r="AJ74" s="216"/>
      <c r="AK74" s="216"/>
      <c r="AL74" s="216"/>
      <c r="AM74" s="216"/>
      <c r="AN74" s="216"/>
    </row>
    <row r="75">
      <c r="B75" s="267"/>
      <c r="C75" s="266"/>
      <c r="D75" s="266"/>
      <c r="E75" s="266"/>
      <c r="F75" s="266"/>
      <c r="G75" s="266"/>
      <c r="H75" s="266"/>
      <c r="I75" s="266"/>
      <c r="J75" s="266"/>
      <c r="K75" s="266"/>
      <c r="L75" s="266"/>
      <c r="M75" s="266"/>
      <c r="N75" s="266"/>
      <c r="O75" s="266"/>
      <c r="P75" s="266"/>
      <c r="Q75" s="266"/>
      <c r="R75" s="266"/>
      <c r="S75" s="216"/>
      <c r="T75" s="216"/>
      <c r="U75" s="217"/>
      <c r="V75" s="216"/>
      <c r="W75" s="216"/>
      <c r="X75" s="216"/>
      <c r="Y75" s="216"/>
      <c r="Z75" s="216"/>
      <c r="AA75" s="216"/>
      <c r="AB75" s="216"/>
      <c r="AC75" s="216"/>
      <c r="AD75" s="216"/>
      <c r="AE75" s="216"/>
      <c r="AF75" s="216"/>
      <c r="AG75" s="216"/>
      <c r="AH75" s="216"/>
      <c r="AI75" s="216"/>
      <c r="AJ75" s="216"/>
      <c r="AK75" s="216"/>
      <c r="AL75" s="216"/>
      <c r="AM75" s="216"/>
      <c r="AN75" s="216"/>
    </row>
    <row r="76">
      <c r="B76" s="267"/>
      <c r="C76" s="266"/>
      <c r="D76" s="266"/>
      <c r="E76" s="266"/>
      <c r="F76" s="266"/>
      <c r="G76" s="266"/>
      <c r="H76" s="266"/>
      <c r="I76" s="266"/>
      <c r="J76" s="266"/>
      <c r="K76" s="266"/>
      <c r="L76" s="266"/>
      <c r="M76" s="266"/>
      <c r="N76" s="266"/>
      <c r="O76" s="266"/>
      <c r="P76" s="266"/>
      <c r="Q76" s="266"/>
      <c r="R76" s="266"/>
      <c r="S76" s="216"/>
      <c r="T76" s="216"/>
      <c r="U76" s="217"/>
      <c r="V76" s="216"/>
      <c r="W76" s="216"/>
      <c r="X76" s="216"/>
      <c r="Y76" s="216"/>
      <c r="Z76" s="216"/>
      <c r="AA76" s="216"/>
      <c r="AB76" s="216"/>
      <c r="AC76" s="216"/>
      <c r="AD76" s="216"/>
      <c r="AE76" s="216"/>
      <c r="AF76" s="216"/>
      <c r="AG76" s="216"/>
      <c r="AH76" s="216"/>
      <c r="AI76" s="216"/>
      <c r="AJ76" s="216"/>
      <c r="AK76" s="216"/>
      <c r="AL76" s="216"/>
      <c r="AM76" s="216"/>
      <c r="AN76" s="216"/>
    </row>
    <row r="77">
      <c r="B77" s="267"/>
      <c r="C77" s="266"/>
      <c r="D77" s="266"/>
      <c r="E77" s="266"/>
      <c r="F77" s="266"/>
      <c r="G77" s="266"/>
      <c r="H77" s="266"/>
      <c r="I77" s="266"/>
      <c r="J77" s="266"/>
      <c r="K77" s="266"/>
      <c r="L77" s="266"/>
      <c r="M77" s="266"/>
      <c r="N77" s="266"/>
      <c r="O77" s="266"/>
      <c r="P77" s="266"/>
      <c r="Q77" s="266"/>
      <c r="R77" s="266"/>
      <c r="S77" s="216"/>
      <c r="T77" s="216"/>
      <c r="U77" s="217"/>
      <c r="V77" s="216"/>
      <c r="W77" s="216"/>
      <c r="X77" s="216"/>
      <c r="Y77" s="216"/>
      <c r="Z77" s="216"/>
      <c r="AA77" s="216"/>
      <c r="AB77" s="216"/>
      <c r="AC77" s="216"/>
      <c r="AD77" s="216"/>
      <c r="AE77" s="216"/>
      <c r="AF77" s="216"/>
      <c r="AG77" s="216"/>
      <c r="AH77" s="216"/>
      <c r="AI77" s="216"/>
      <c r="AJ77" s="216"/>
      <c r="AK77" s="216"/>
      <c r="AL77" s="216"/>
      <c r="AM77" s="216"/>
      <c r="AN77" s="216"/>
    </row>
    <row r="78">
      <c r="B78" s="267"/>
      <c r="C78" s="266"/>
      <c r="D78" s="266"/>
      <c r="E78" s="266"/>
      <c r="F78" s="266"/>
      <c r="G78" s="266"/>
      <c r="H78" s="266"/>
      <c r="I78" s="266"/>
      <c r="J78" s="266"/>
      <c r="K78" s="266"/>
      <c r="L78" s="266"/>
      <c r="M78" s="266"/>
      <c r="N78" s="266"/>
      <c r="O78" s="266"/>
      <c r="P78" s="266"/>
      <c r="Q78" s="266"/>
      <c r="R78" s="266"/>
      <c r="S78" s="216"/>
      <c r="T78" s="216"/>
      <c r="U78" s="217"/>
      <c r="V78" s="216"/>
      <c r="W78" s="216"/>
      <c r="X78" s="216"/>
      <c r="Y78" s="216"/>
      <c r="Z78" s="216"/>
      <c r="AA78" s="216"/>
      <c r="AB78" s="216"/>
      <c r="AC78" s="216"/>
      <c r="AD78" s="216"/>
      <c r="AE78" s="216"/>
      <c r="AF78" s="216"/>
      <c r="AG78" s="216"/>
      <c r="AH78" s="216"/>
      <c r="AI78" s="216"/>
      <c r="AJ78" s="216"/>
      <c r="AK78" s="216"/>
      <c r="AL78" s="216"/>
      <c r="AM78" s="216"/>
      <c r="AN78" s="216"/>
    </row>
    <row r="79">
      <c r="B79" s="267"/>
      <c r="C79" s="266"/>
      <c r="D79" s="266"/>
      <c r="E79" s="266"/>
      <c r="F79" s="266"/>
      <c r="G79" s="266"/>
      <c r="H79" s="266"/>
      <c r="I79" s="266"/>
      <c r="J79" s="266"/>
      <c r="K79" s="266"/>
      <c r="L79" s="266"/>
      <c r="M79" s="266"/>
      <c r="N79" s="266"/>
      <c r="O79" s="266"/>
      <c r="P79" s="266"/>
      <c r="Q79" s="266"/>
      <c r="R79" s="266"/>
      <c r="S79" s="216"/>
      <c r="T79" s="216"/>
      <c r="U79" s="217"/>
      <c r="V79" s="216"/>
      <c r="W79" s="216"/>
      <c r="X79" s="216"/>
      <c r="Y79" s="216"/>
      <c r="Z79" s="216"/>
      <c r="AA79" s="216"/>
      <c r="AB79" s="216"/>
      <c r="AC79" s="216"/>
      <c r="AD79" s="216"/>
      <c r="AE79" s="216"/>
      <c r="AF79" s="216"/>
      <c r="AG79" s="216"/>
      <c r="AH79" s="216"/>
      <c r="AI79" s="216"/>
      <c r="AJ79" s="216"/>
      <c r="AK79" s="216"/>
      <c r="AL79" s="216"/>
      <c r="AM79" s="216"/>
      <c r="AN79" s="216"/>
    </row>
    <row r="80">
      <c r="B80" s="267"/>
      <c r="C80" s="266"/>
      <c r="D80" s="266"/>
      <c r="E80" s="266"/>
      <c r="F80" s="266"/>
      <c r="G80" s="266"/>
      <c r="H80" s="266"/>
      <c r="I80" s="266"/>
      <c r="J80" s="266"/>
      <c r="K80" s="266"/>
      <c r="L80" s="266"/>
      <c r="M80" s="266"/>
      <c r="N80" s="266"/>
      <c r="O80" s="266"/>
      <c r="P80" s="266"/>
      <c r="Q80" s="266"/>
      <c r="R80" s="266"/>
      <c r="S80" s="216"/>
      <c r="T80" s="216"/>
      <c r="U80" s="217"/>
      <c r="V80" s="216"/>
      <c r="W80" s="216"/>
      <c r="X80" s="216"/>
      <c r="Y80" s="216"/>
      <c r="Z80" s="216"/>
      <c r="AA80" s="216"/>
      <c r="AB80" s="216"/>
      <c r="AC80" s="216"/>
      <c r="AD80" s="216"/>
      <c r="AE80" s="216"/>
      <c r="AF80" s="216"/>
      <c r="AG80" s="216"/>
      <c r="AH80" s="216"/>
      <c r="AI80" s="216"/>
      <c r="AJ80" s="216"/>
      <c r="AK80" s="216"/>
      <c r="AL80" s="216"/>
      <c r="AM80" s="216"/>
      <c r="AN80" s="216"/>
    </row>
    <row r="81">
      <c r="B81" s="267"/>
      <c r="C81" s="266"/>
      <c r="D81" s="266"/>
      <c r="E81" s="266"/>
      <c r="F81" s="266"/>
      <c r="G81" s="266"/>
      <c r="H81" s="266"/>
      <c r="I81" s="266"/>
      <c r="J81" s="266"/>
      <c r="K81" s="266"/>
      <c r="L81" s="266"/>
      <c r="M81" s="266"/>
      <c r="N81" s="266"/>
      <c r="O81" s="266"/>
      <c r="P81" s="266"/>
      <c r="Q81" s="266"/>
      <c r="R81" s="266"/>
      <c r="S81" s="216"/>
      <c r="T81" s="216"/>
      <c r="U81" s="217"/>
      <c r="V81" s="216"/>
      <c r="W81" s="216"/>
      <c r="X81" s="216"/>
      <c r="Y81" s="216"/>
      <c r="Z81" s="216"/>
      <c r="AA81" s="216"/>
      <c r="AB81" s="216"/>
      <c r="AC81" s="216"/>
      <c r="AD81" s="216"/>
      <c r="AE81" s="216"/>
      <c r="AF81" s="216"/>
      <c r="AG81" s="216"/>
      <c r="AH81" s="216"/>
      <c r="AI81" s="216"/>
      <c r="AJ81" s="216"/>
      <c r="AK81" s="216"/>
      <c r="AL81" s="216"/>
      <c r="AM81" s="216"/>
      <c r="AN81" s="216"/>
    </row>
    <row r="82">
      <c r="B82" s="267"/>
      <c r="C82" s="266"/>
      <c r="D82" s="266"/>
      <c r="E82" s="266"/>
      <c r="F82" s="266"/>
      <c r="G82" s="266"/>
      <c r="H82" s="266"/>
      <c r="I82" s="266"/>
      <c r="J82" s="266"/>
      <c r="K82" s="266"/>
      <c r="L82" s="266"/>
      <c r="M82" s="266"/>
      <c r="N82" s="266"/>
      <c r="O82" s="266"/>
      <c r="P82" s="266"/>
      <c r="Q82" s="266"/>
      <c r="R82" s="266"/>
      <c r="S82" s="216"/>
      <c r="T82" s="216"/>
      <c r="U82" s="217"/>
      <c r="V82" s="216"/>
      <c r="W82" s="216"/>
      <c r="X82" s="216"/>
      <c r="Y82" s="216"/>
      <c r="Z82" s="216"/>
      <c r="AA82" s="216"/>
      <c r="AB82" s="216"/>
      <c r="AC82" s="216"/>
      <c r="AD82" s="216"/>
      <c r="AE82" s="216"/>
      <c r="AF82" s="216"/>
      <c r="AG82" s="216"/>
      <c r="AH82" s="216"/>
      <c r="AI82" s="216"/>
      <c r="AJ82" s="216"/>
      <c r="AK82" s="216"/>
      <c r="AL82" s="216"/>
      <c r="AM82" s="216"/>
      <c r="AN82" s="216"/>
    </row>
    <row r="83">
      <c r="B83" s="267"/>
      <c r="C83" s="266"/>
      <c r="D83" s="266"/>
      <c r="E83" s="266"/>
      <c r="F83" s="266"/>
      <c r="G83" s="266"/>
      <c r="H83" s="266"/>
      <c r="I83" s="266"/>
      <c r="J83" s="266"/>
      <c r="K83" s="266"/>
      <c r="L83" s="266"/>
      <c r="M83" s="266"/>
      <c r="N83" s="266"/>
      <c r="O83" s="266"/>
      <c r="P83" s="266"/>
      <c r="Q83" s="266"/>
      <c r="R83" s="266"/>
      <c r="S83" s="216"/>
      <c r="T83" s="216"/>
      <c r="U83" s="217"/>
      <c r="V83" s="216"/>
      <c r="W83" s="216"/>
      <c r="X83" s="216"/>
      <c r="Y83" s="216"/>
      <c r="Z83" s="216"/>
      <c r="AA83" s="216"/>
      <c r="AB83" s="216"/>
      <c r="AC83" s="216"/>
      <c r="AD83" s="216"/>
      <c r="AE83" s="216"/>
      <c r="AF83" s="216"/>
      <c r="AG83" s="216"/>
      <c r="AH83" s="216"/>
      <c r="AI83" s="216"/>
      <c r="AJ83" s="216"/>
      <c r="AK83" s="216"/>
      <c r="AL83" s="216"/>
      <c r="AM83" s="216"/>
      <c r="AN83" s="216"/>
    </row>
    <row r="84">
      <c r="B84" s="267"/>
      <c r="C84" s="266"/>
      <c r="D84" s="266"/>
      <c r="E84" s="266"/>
      <c r="F84" s="266"/>
      <c r="G84" s="266"/>
      <c r="H84" s="266"/>
      <c r="I84" s="266"/>
      <c r="J84" s="266"/>
      <c r="K84" s="266"/>
      <c r="L84" s="266"/>
      <c r="M84" s="266"/>
      <c r="N84" s="266"/>
      <c r="O84" s="266"/>
      <c r="P84" s="266"/>
      <c r="Q84" s="266"/>
      <c r="R84" s="266"/>
      <c r="S84" s="216"/>
      <c r="T84" s="216"/>
      <c r="U84" s="217"/>
      <c r="V84" s="216"/>
      <c r="W84" s="216"/>
      <c r="X84" s="216"/>
      <c r="Y84" s="216"/>
      <c r="Z84" s="216"/>
      <c r="AA84" s="216"/>
      <c r="AB84" s="216"/>
      <c r="AC84" s="216"/>
      <c r="AD84" s="216"/>
      <c r="AE84" s="216"/>
      <c r="AF84" s="216"/>
      <c r="AG84" s="216"/>
      <c r="AH84" s="216"/>
      <c r="AI84" s="216"/>
      <c r="AJ84" s="216"/>
      <c r="AK84" s="216"/>
      <c r="AL84" s="216"/>
      <c r="AM84" s="216"/>
      <c r="AN84" s="216"/>
    </row>
    <row r="85">
      <c r="B85" s="267"/>
      <c r="C85" s="266"/>
      <c r="D85" s="266"/>
      <c r="E85" s="266"/>
      <c r="F85" s="266"/>
      <c r="G85" s="266"/>
      <c r="H85" s="266"/>
      <c r="I85" s="266"/>
      <c r="J85" s="266"/>
      <c r="K85" s="266"/>
      <c r="L85" s="266"/>
      <c r="M85" s="266"/>
      <c r="N85" s="266"/>
      <c r="O85" s="266"/>
      <c r="P85" s="266"/>
      <c r="Q85" s="266"/>
      <c r="R85" s="266"/>
      <c r="S85" s="216"/>
      <c r="T85" s="216"/>
      <c r="U85" s="217"/>
      <c r="V85" s="216"/>
      <c r="W85" s="216"/>
      <c r="X85" s="216"/>
      <c r="Y85" s="216"/>
      <c r="Z85" s="216"/>
      <c r="AA85" s="216"/>
      <c r="AB85" s="216"/>
      <c r="AC85" s="216"/>
      <c r="AD85" s="216"/>
      <c r="AE85" s="216"/>
      <c r="AF85" s="216"/>
      <c r="AG85" s="216"/>
      <c r="AH85" s="216"/>
      <c r="AI85" s="216"/>
      <c r="AJ85" s="216"/>
      <c r="AK85" s="216"/>
      <c r="AL85" s="216"/>
      <c r="AM85" s="216"/>
      <c r="AN85" s="216"/>
    </row>
    <row r="86">
      <c r="B86" s="267"/>
      <c r="C86" s="266"/>
      <c r="D86" s="266"/>
      <c r="E86" s="266"/>
      <c r="F86" s="266"/>
      <c r="G86" s="266"/>
      <c r="H86" s="266"/>
      <c r="I86" s="266"/>
      <c r="J86" s="266"/>
      <c r="K86" s="266"/>
      <c r="L86" s="266"/>
      <c r="M86" s="266"/>
      <c r="N86" s="266"/>
      <c r="O86" s="266"/>
      <c r="P86" s="266"/>
      <c r="Q86" s="266"/>
      <c r="R86" s="266"/>
      <c r="S86" s="216"/>
      <c r="T86" s="216"/>
      <c r="U86" s="217"/>
      <c r="V86" s="216"/>
      <c r="W86" s="216"/>
      <c r="X86" s="216"/>
      <c r="Y86" s="216"/>
      <c r="Z86" s="216"/>
      <c r="AA86" s="216"/>
      <c r="AB86" s="216"/>
      <c r="AC86" s="216"/>
      <c r="AD86" s="216"/>
      <c r="AE86" s="216"/>
      <c r="AF86" s="216"/>
      <c r="AG86" s="216"/>
      <c r="AH86" s="216"/>
      <c r="AI86" s="216"/>
      <c r="AJ86" s="216"/>
      <c r="AK86" s="216"/>
      <c r="AL86" s="216"/>
      <c r="AM86" s="216"/>
      <c r="AN86" s="216"/>
    </row>
    <row r="87">
      <c r="B87" s="267"/>
      <c r="C87" s="266"/>
      <c r="D87" s="266"/>
      <c r="E87" s="266"/>
      <c r="F87" s="266"/>
      <c r="G87" s="266"/>
      <c r="H87" s="266"/>
      <c r="I87" s="266"/>
      <c r="J87" s="266"/>
      <c r="K87" s="266"/>
      <c r="L87" s="266"/>
      <c r="M87" s="266"/>
      <c r="N87" s="266"/>
      <c r="O87" s="266"/>
      <c r="P87" s="266"/>
      <c r="Q87" s="266"/>
      <c r="R87" s="266"/>
      <c r="S87" s="216"/>
      <c r="T87" s="216"/>
      <c r="U87" s="217"/>
      <c r="V87" s="216"/>
      <c r="W87" s="216"/>
      <c r="X87" s="216"/>
      <c r="Y87" s="216"/>
      <c r="Z87" s="216"/>
      <c r="AA87" s="216"/>
      <c r="AB87" s="216"/>
      <c r="AC87" s="216"/>
      <c r="AD87" s="216"/>
      <c r="AE87" s="216"/>
      <c r="AF87" s="216"/>
      <c r="AG87" s="216"/>
      <c r="AH87" s="216"/>
      <c r="AI87" s="216"/>
      <c r="AJ87" s="216"/>
      <c r="AK87" s="216"/>
      <c r="AL87" s="216"/>
      <c r="AM87" s="216"/>
      <c r="AN87" s="216"/>
    </row>
    <row r="88">
      <c r="B88" s="267"/>
      <c r="C88" s="266"/>
      <c r="D88" s="266"/>
      <c r="E88" s="266"/>
      <c r="F88" s="266"/>
      <c r="G88" s="266"/>
      <c r="H88" s="266"/>
      <c r="I88" s="266"/>
      <c r="J88" s="266"/>
      <c r="K88" s="266"/>
      <c r="L88" s="266"/>
      <c r="M88" s="266"/>
      <c r="N88" s="266"/>
      <c r="O88" s="266"/>
      <c r="P88" s="266"/>
      <c r="Q88" s="266"/>
      <c r="R88" s="266"/>
      <c r="S88" s="216"/>
      <c r="T88" s="216"/>
      <c r="U88" s="217"/>
      <c r="V88" s="216"/>
      <c r="W88" s="216"/>
      <c r="X88" s="216"/>
      <c r="Y88" s="216"/>
      <c r="Z88" s="216"/>
      <c r="AA88" s="216"/>
      <c r="AB88" s="216"/>
      <c r="AC88" s="216"/>
      <c r="AD88" s="216"/>
      <c r="AE88" s="216"/>
      <c r="AF88" s="216"/>
      <c r="AG88" s="216"/>
      <c r="AH88" s="216"/>
      <c r="AI88" s="216"/>
      <c r="AJ88" s="216"/>
      <c r="AK88" s="216"/>
      <c r="AL88" s="216"/>
      <c r="AM88" s="216"/>
      <c r="AN88" s="216"/>
    </row>
    <row r="89">
      <c r="B89" s="267"/>
      <c r="C89" s="266"/>
      <c r="D89" s="266"/>
      <c r="E89" s="266"/>
      <c r="F89" s="266"/>
      <c r="G89" s="266"/>
      <c r="H89" s="266"/>
      <c r="I89" s="266"/>
      <c r="J89" s="266"/>
      <c r="K89" s="266"/>
      <c r="L89" s="266"/>
      <c r="M89" s="266"/>
      <c r="N89" s="266"/>
      <c r="O89" s="266"/>
      <c r="P89" s="266"/>
      <c r="Q89" s="266"/>
      <c r="R89" s="266"/>
      <c r="S89" s="216"/>
      <c r="T89" s="216"/>
      <c r="U89" s="217"/>
      <c r="V89" s="216"/>
      <c r="W89" s="216"/>
      <c r="X89" s="216"/>
      <c r="Y89" s="216"/>
      <c r="Z89" s="216"/>
      <c r="AA89" s="216"/>
      <c r="AB89" s="216"/>
      <c r="AC89" s="216"/>
      <c r="AD89" s="216"/>
      <c r="AE89" s="216"/>
      <c r="AF89" s="216"/>
      <c r="AG89" s="216"/>
      <c r="AH89" s="216"/>
      <c r="AI89" s="216"/>
      <c r="AJ89" s="216"/>
      <c r="AK89" s="216"/>
      <c r="AL89" s="216"/>
      <c r="AM89" s="216"/>
      <c r="AN89" s="216"/>
    </row>
    <row r="90">
      <c r="B90" s="267"/>
      <c r="C90" s="266"/>
      <c r="D90" s="266"/>
      <c r="E90" s="266"/>
      <c r="F90" s="266"/>
      <c r="G90" s="266"/>
      <c r="H90" s="266"/>
      <c r="I90" s="266"/>
      <c r="J90" s="266"/>
      <c r="K90" s="266"/>
      <c r="L90" s="266"/>
      <c r="M90" s="266"/>
      <c r="N90" s="266"/>
      <c r="O90" s="266"/>
      <c r="P90" s="266"/>
      <c r="Q90" s="266"/>
      <c r="R90" s="266"/>
      <c r="S90" s="216"/>
      <c r="T90" s="216"/>
      <c r="U90" s="217"/>
      <c r="V90" s="216"/>
      <c r="W90" s="216"/>
      <c r="X90" s="216"/>
      <c r="Y90" s="216"/>
      <c r="Z90" s="216"/>
      <c r="AA90" s="216"/>
      <c r="AB90" s="216"/>
      <c r="AC90" s="216"/>
      <c r="AD90" s="216"/>
      <c r="AE90" s="216"/>
      <c r="AF90" s="216"/>
      <c r="AG90" s="216"/>
      <c r="AH90" s="216"/>
      <c r="AI90" s="216"/>
      <c r="AJ90" s="216"/>
      <c r="AK90" s="216"/>
      <c r="AL90" s="216"/>
      <c r="AM90" s="216"/>
      <c r="AN90" s="216"/>
    </row>
    <row r="91">
      <c r="B91" s="267"/>
      <c r="C91" s="266"/>
      <c r="D91" s="266"/>
      <c r="E91" s="266"/>
      <c r="F91" s="266"/>
      <c r="G91" s="266"/>
      <c r="H91" s="266"/>
      <c r="I91" s="266"/>
      <c r="J91" s="266"/>
      <c r="K91" s="266"/>
      <c r="L91" s="266"/>
      <c r="M91" s="266"/>
      <c r="N91" s="266"/>
      <c r="O91" s="266"/>
      <c r="P91" s="266"/>
      <c r="Q91" s="266"/>
      <c r="R91" s="266"/>
      <c r="S91" s="216"/>
      <c r="T91" s="216"/>
      <c r="U91" s="217"/>
      <c r="V91" s="216"/>
      <c r="W91" s="216"/>
      <c r="X91" s="216"/>
      <c r="Y91" s="216"/>
      <c r="Z91" s="216"/>
      <c r="AA91" s="216"/>
      <c r="AB91" s="216"/>
      <c r="AC91" s="216"/>
      <c r="AD91" s="216"/>
      <c r="AE91" s="216"/>
      <c r="AF91" s="216"/>
      <c r="AG91" s="216"/>
      <c r="AH91" s="216"/>
      <c r="AI91" s="216"/>
      <c r="AJ91" s="216"/>
      <c r="AK91" s="216"/>
      <c r="AL91" s="216"/>
      <c r="AM91" s="216"/>
      <c r="AN91" s="216"/>
    </row>
    <row r="92">
      <c r="B92" s="267"/>
      <c r="C92" s="266"/>
      <c r="D92" s="266"/>
      <c r="E92" s="266"/>
      <c r="F92" s="266"/>
      <c r="G92" s="266"/>
      <c r="H92" s="266"/>
      <c r="I92" s="266"/>
      <c r="J92" s="266"/>
      <c r="K92" s="266"/>
      <c r="L92" s="266"/>
      <c r="M92" s="266"/>
      <c r="N92" s="266"/>
      <c r="O92" s="266"/>
      <c r="P92" s="266"/>
      <c r="Q92" s="266"/>
      <c r="R92" s="266"/>
      <c r="S92" s="216"/>
      <c r="T92" s="216"/>
      <c r="U92" s="217"/>
      <c r="V92" s="216"/>
      <c r="W92" s="216"/>
      <c r="X92" s="216"/>
      <c r="Y92" s="216"/>
      <c r="Z92" s="216"/>
      <c r="AA92" s="216"/>
      <c r="AB92" s="216"/>
      <c r="AC92" s="216"/>
      <c r="AD92" s="216"/>
      <c r="AE92" s="216"/>
      <c r="AF92" s="216"/>
      <c r="AG92" s="216"/>
      <c r="AH92" s="216"/>
      <c r="AI92" s="216"/>
      <c r="AJ92" s="216"/>
      <c r="AK92" s="216"/>
      <c r="AL92" s="216"/>
      <c r="AM92" s="216"/>
      <c r="AN92" s="216"/>
    </row>
    <row r="93">
      <c r="B93" s="267"/>
      <c r="C93" s="266"/>
      <c r="D93" s="266"/>
      <c r="E93" s="266"/>
      <c r="F93" s="266"/>
      <c r="G93" s="266"/>
      <c r="H93" s="266"/>
      <c r="I93" s="266"/>
      <c r="J93" s="266"/>
      <c r="K93" s="266"/>
      <c r="L93" s="266"/>
      <c r="M93" s="266"/>
      <c r="N93" s="266"/>
      <c r="O93" s="266"/>
      <c r="P93" s="266"/>
      <c r="Q93" s="266"/>
      <c r="R93" s="266"/>
      <c r="S93" s="216"/>
      <c r="T93" s="216"/>
      <c r="U93" s="217"/>
      <c r="V93" s="216"/>
      <c r="W93" s="216"/>
      <c r="X93" s="216"/>
      <c r="Y93" s="216"/>
      <c r="Z93" s="216"/>
      <c r="AA93" s="216"/>
      <c r="AB93" s="216"/>
      <c r="AC93" s="216"/>
      <c r="AD93" s="216"/>
      <c r="AE93" s="216"/>
      <c r="AF93" s="216"/>
      <c r="AG93" s="216"/>
      <c r="AH93" s="216"/>
      <c r="AI93" s="216"/>
      <c r="AJ93" s="216"/>
      <c r="AK93" s="216"/>
      <c r="AL93" s="216"/>
      <c r="AM93" s="216"/>
      <c r="AN93" s="216"/>
    </row>
    <row r="94">
      <c r="B94" s="267"/>
      <c r="C94" s="266"/>
      <c r="D94" s="266"/>
      <c r="E94" s="266"/>
      <c r="F94" s="266"/>
      <c r="G94" s="266"/>
      <c r="H94" s="266"/>
      <c r="I94" s="266"/>
      <c r="J94" s="266"/>
      <c r="K94" s="266"/>
      <c r="L94" s="266"/>
      <c r="M94" s="266"/>
      <c r="N94" s="266"/>
      <c r="O94" s="266"/>
      <c r="P94" s="266"/>
      <c r="Q94" s="266"/>
      <c r="R94" s="266"/>
      <c r="S94" s="216"/>
      <c r="T94" s="216"/>
      <c r="U94" s="217"/>
      <c r="V94" s="216"/>
      <c r="W94" s="216"/>
      <c r="X94" s="216"/>
      <c r="Y94" s="216"/>
      <c r="Z94" s="216"/>
      <c r="AA94" s="216"/>
      <c r="AB94" s="216"/>
      <c r="AC94" s="216"/>
      <c r="AD94" s="216"/>
      <c r="AE94" s="216"/>
      <c r="AF94" s="216"/>
      <c r="AG94" s="216"/>
      <c r="AH94" s="216"/>
      <c r="AI94" s="216"/>
      <c r="AJ94" s="216"/>
      <c r="AK94" s="216"/>
      <c r="AL94" s="216"/>
      <c r="AM94" s="216"/>
      <c r="AN94" s="216"/>
    </row>
    <row r="95">
      <c r="B95" s="267"/>
      <c r="C95" s="266"/>
      <c r="D95" s="266"/>
      <c r="E95" s="266"/>
      <c r="F95" s="266"/>
      <c r="G95" s="266"/>
      <c r="H95" s="266"/>
      <c r="I95" s="266"/>
      <c r="J95" s="266"/>
      <c r="K95" s="266"/>
      <c r="L95" s="266"/>
      <c r="M95" s="266"/>
      <c r="N95" s="266"/>
      <c r="O95" s="266"/>
      <c r="P95" s="266"/>
      <c r="Q95" s="266"/>
      <c r="R95" s="266"/>
      <c r="S95" s="216"/>
      <c r="T95" s="216"/>
      <c r="U95" s="217"/>
      <c r="V95" s="216"/>
      <c r="W95" s="216"/>
      <c r="X95" s="216"/>
      <c r="Y95" s="216"/>
      <c r="Z95" s="216"/>
      <c r="AA95" s="216"/>
      <c r="AB95" s="216"/>
      <c r="AC95" s="216"/>
      <c r="AD95" s="216"/>
      <c r="AE95" s="216"/>
      <c r="AF95" s="216"/>
      <c r="AG95" s="216"/>
      <c r="AH95" s="216"/>
      <c r="AI95" s="216"/>
      <c r="AJ95" s="216"/>
      <c r="AK95" s="216"/>
      <c r="AL95" s="216"/>
      <c r="AM95" s="216"/>
      <c r="AN95" s="216"/>
    </row>
    <row r="96">
      <c r="B96" s="267"/>
      <c r="C96" s="266"/>
      <c r="D96" s="266"/>
      <c r="E96" s="266"/>
      <c r="F96" s="266"/>
      <c r="G96" s="266"/>
      <c r="H96" s="266"/>
      <c r="I96" s="266"/>
      <c r="J96" s="266"/>
      <c r="K96" s="266"/>
      <c r="L96" s="266"/>
      <c r="M96" s="266"/>
      <c r="N96" s="266"/>
      <c r="O96" s="266"/>
      <c r="P96" s="266"/>
      <c r="Q96" s="266"/>
      <c r="R96" s="266"/>
      <c r="S96" s="216"/>
      <c r="T96" s="216"/>
      <c r="U96" s="217"/>
      <c r="V96" s="216"/>
      <c r="W96" s="216"/>
      <c r="X96" s="216"/>
      <c r="Y96" s="216"/>
      <c r="Z96" s="216"/>
      <c r="AA96" s="216"/>
      <c r="AB96" s="216"/>
      <c r="AC96" s="216"/>
      <c r="AD96" s="216"/>
      <c r="AE96" s="216"/>
      <c r="AF96" s="216"/>
      <c r="AG96" s="216"/>
      <c r="AH96" s="216"/>
      <c r="AI96" s="216"/>
      <c r="AJ96" s="216"/>
      <c r="AK96" s="216"/>
      <c r="AL96" s="216"/>
      <c r="AM96" s="216"/>
      <c r="AN96" s="216"/>
    </row>
    <row r="97">
      <c r="B97" s="267"/>
      <c r="C97" s="266"/>
      <c r="D97" s="266"/>
      <c r="E97" s="266"/>
      <c r="F97" s="266"/>
      <c r="G97" s="266"/>
      <c r="H97" s="266"/>
      <c r="I97" s="266"/>
      <c r="J97" s="266"/>
      <c r="K97" s="266"/>
      <c r="L97" s="266"/>
      <c r="M97" s="266"/>
      <c r="N97" s="266"/>
      <c r="O97" s="266"/>
      <c r="P97" s="266"/>
      <c r="Q97" s="266"/>
      <c r="R97" s="266"/>
      <c r="S97" s="216"/>
      <c r="T97" s="216"/>
      <c r="U97" s="217"/>
      <c r="V97" s="216"/>
      <c r="W97" s="216"/>
      <c r="X97" s="216"/>
      <c r="Y97" s="216"/>
      <c r="Z97" s="216"/>
      <c r="AA97" s="216"/>
      <c r="AB97" s="216"/>
      <c r="AC97" s="216"/>
      <c r="AD97" s="216"/>
      <c r="AE97" s="216"/>
      <c r="AF97" s="216"/>
      <c r="AG97" s="216"/>
      <c r="AH97" s="216"/>
      <c r="AI97" s="216"/>
      <c r="AJ97" s="216"/>
      <c r="AK97" s="216"/>
      <c r="AL97" s="216"/>
      <c r="AM97" s="216"/>
      <c r="AN97" s="216"/>
    </row>
    <row r="98">
      <c r="B98" s="267"/>
      <c r="C98" s="266"/>
      <c r="D98" s="266"/>
      <c r="E98" s="266"/>
      <c r="F98" s="266"/>
      <c r="G98" s="266"/>
      <c r="H98" s="266"/>
      <c r="I98" s="266"/>
      <c r="J98" s="266"/>
      <c r="K98" s="266"/>
      <c r="L98" s="266"/>
      <c r="M98" s="266"/>
      <c r="N98" s="266"/>
      <c r="O98" s="266"/>
      <c r="P98" s="266"/>
      <c r="Q98" s="266"/>
      <c r="R98" s="266"/>
      <c r="S98" s="216"/>
      <c r="T98" s="216"/>
      <c r="U98" s="217"/>
      <c r="V98" s="216"/>
      <c r="W98" s="216"/>
      <c r="X98" s="216"/>
      <c r="Y98" s="216"/>
      <c r="Z98" s="216"/>
      <c r="AA98" s="216"/>
      <c r="AB98" s="216"/>
      <c r="AC98" s="216"/>
      <c r="AD98" s="216"/>
      <c r="AE98" s="216"/>
      <c r="AF98" s="216"/>
      <c r="AG98" s="216"/>
      <c r="AH98" s="216"/>
      <c r="AI98" s="216"/>
      <c r="AJ98" s="216"/>
      <c r="AK98" s="216"/>
      <c r="AL98" s="216"/>
      <c r="AM98" s="216"/>
      <c r="AN98" s="216"/>
    </row>
    <row r="99">
      <c r="B99" s="267"/>
      <c r="C99" s="266"/>
      <c r="D99" s="266"/>
      <c r="E99" s="266"/>
      <c r="F99" s="266"/>
      <c r="G99" s="266"/>
      <c r="H99" s="266"/>
      <c r="I99" s="266"/>
      <c r="J99" s="266"/>
      <c r="K99" s="266"/>
      <c r="L99" s="266"/>
      <c r="M99" s="266"/>
      <c r="N99" s="266"/>
      <c r="O99" s="266"/>
      <c r="P99" s="266"/>
      <c r="Q99" s="266"/>
      <c r="R99" s="266"/>
      <c r="S99" s="216"/>
      <c r="T99" s="216"/>
      <c r="U99" s="217"/>
      <c r="V99" s="216"/>
      <c r="W99" s="216"/>
      <c r="X99" s="216"/>
      <c r="Y99" s="216"/>
      <c r="Z99" s="216"/>
      <c r="AA99" s="216"/>
      <c r="AB99" s="216"/>
      <c r="AC99" s="216"/>
      <c r="AD99" s="216"/>
      <c r="AE99" s="216"/>
      <c r="AF99" s="216"/>
      <c r="AG99" s="216"/>
      <c r="AH99" s="216"/>
      <c r="AI99" s="216"/>
      <c r="AJ99" s="216"/>
      <c r="AK99" s="216"/>
      <c r="AL99" s="216"/>
      <c r="AM99" s="216"/>
      <c r="AN99" s="216"/>
    </row>
    <row r="100">
      <c r="B100" s="267"/>
      <c r="C100" s="266"/>
      <c r="D100" s="266"/>
      <c r="E100" s="266"/>
      <c r="F100" s="266"/>
      <c r="G100" s="266"/>
      <c r="H100" s="266"/>
      <c r="I100" s="266"/>
      <c r="J100" s="266"/>
      <c r="K100" s="266"/>
      <c r="L100" s="266"/>
      <c r="M100" s="266"/>
      <c r="N100" s="266"/>
      <c r="O100" s="266"/>
      <c r="P100" s="266"/>
      <c r="Q100" s="266"/>
      <c r="R100" s="266"/>
      <c r="S100" s="216"/>
      <c r="T100" s="216"/>
      <c r="U100" s="217"/>
      <c r="V100" s="216"/>
      <c r="W100" s="216"/>
      <c r="X100" s="216"/>
      <c r="Y100" s="216"/>
      <c r="Z100" s="216"/>
      <c r="AA100" s="216"/>
      <c r="AB100" s="216"/>
      <c r="AC100" s="216"/>
      <c r="AD100" s="216"/>
      <c r="AE100" s="216"/>
      <c r="AF100" s="216"/>
      <c r="AG100" s="216"/>
      <c r="AH100" s="216"/>
      <c r="AI100" s="216"/>
      <c r="AJ100" s="216"/>
      <c r="AK100" s="216"/>
      <c r="AL100" s="216"/>
      <c r="AM100" s="216"/>
      <c r="AN100" s="216"/>
    </row>
    <row r="101">
      <c r="B101" s="267"/>
      <c r="C101" s="266"/>
      <c r="D101" s="266"/>
      <c r="E101" s="266"/>
      <c r="F101" s="266"/>
      <c r="G101" s="266"/>
      <c r="H101" s="266"/>
      <c r="I101" s="266"/>
      <c r="J101" s="266"/>
      <c r="K101" s="266"/>
      <c r="L101" s="266"/>
      <c r="M101" s="266"/>
      <c r="N101" s="266"/>
      <c r="O101" s="266"/>
      <c r="P101" s="266"/>
      <c r="Q101" s="266"/>
      <c r="R101" s="266"/>
      <c r="S101" s="216"/>
      <c r="T101" s="216"/>
      <c r="U101" s="217"/>
      <c r="V101" s="216"/>
      <c r="W101" s="216"/>
      <c r="X101" s="216"/>
      <c r="Y101" s="216"/>
      <c r="Z101" s="216"/>
      <c r="AA101" s="216"/>
      <c r="AB101" s="216"/>
      <c r="AC101" s="216"/>
      <c r="AD101" s="216"/>
      <c r="AE101" s="216"/>
      <c r="AF101" s="216"/>
      <c r="AG101" s="216"/>
      <c r="AH101" s="216"/>
      <c r="AI101" s="216"/>
      <c r="AJ101" s="216"/>
      <c r="AK101" s="216"/>
      <c r="AL101" s="216"/>
      <c r="AM101" s="216"/>
      <c r="AN101" s="216"/>
    </row>
    <row r="102">
      <c r="B102" s="267"/>
      <c r="C102" s="266"/>
      <c r="D102" s="266"/>
      <c r="E102" s="266"/>
      <c r="F102" s="266"/>
      <c r="G102" s="266"/>
      <c r="H102" s="266"/>
      <c r="I102" s="266"/>
      <c r="J102" s="266"/>
      <c r="K102" s="266"/>
      <c r="L102" s="266"/>
      <c r="M102" s="266"/>
      <c r="N102" s="266"/>
      <c r="O102" s="266"/>
      <c r="P102" s="266"/>
      <c r="Q102" s="266"/>
      <c r="R102" s="266"/>
      <c r="S102" s="216"/>
      <c r="T102" s="216"/>
      <c r="U102" s="217"/>
      <c r="V102" s="216"/>
      <c r="W102" s="216"/>
      <c r="X102" s="216"/>
      <c r="Y102" s="216"/>
      <c r="Z102" s="216"/>
      <c r="AA102" s="216"/>
      <c r="AB102" s="216"/>
      <c r="AC102" s="216"/>
      <c r="AD102" s="216"/>
      <c r="AE102" s="216"/>
      <c r="AF102" s="216"/>
      <c r="AG102" s="216"/>
      <c r="AH102" s="216"/>
      <c r="AI102" s="216"/>
      <c r="AJ102" s="216"/>
      <c r="AK102" s="216"/>
      <c r="AL102" s="216"/>
      <c r="AM102" s="216"/>
      <c r="AN102" s="216"/>
    </row>
    <row r="103">
      <c r="B103" s="267"/>
      <c r="C103" s="266"/>
      <c r="D103" s="266"/>
      <c r="E103" s="266"/>
      <c r="F103" s="266"/>
      <c r="G103" s="266"/>
      <c r="H103" s="266"/>
      <c r="I103" s="266"/>
      <c r="J103" s="266"/>
      <c r="K103" s="266"/>
      <c r="L103" s="266"/>
      <c r="M103" s="266"/>
      <c r="N103" s="266"/>
      <c r="O103" s="266"/>
      <c r="P103" s="266"/>
      <c r="Q103" s="266"/>
      <c r="R103" s="266"/>
      <c r="S103" s="216"/>
      <c r="T103" s="216"/>
      <c r="U103" s="217"/>
      <c r="V103" s="216"/>
      <c r="W103" s="216"/>
      <c r="X103" s="216"/>
      <c r="Y103" s="216"/>
      <c r="Z103" s="216"/>
      <c r="AA103" s="216"/>
      <c r="AB103" s="216"/>
      <c r="AC103" s="216"/>
      <c r="AD103" s="216"/>
      <c r="AE103" s="216"/>
      <c r="AF103" s="216"/>
      <c r="AG103" s="216"/>
      <c r="AH103" s="216"/>
      <c r="AI103" s="216"/>
      <c r="AJ103" s="216"/>
      <c r="AK103" s="216"/>
      <c r="AL103" s="216"/>
      <c r="AM103" s="216"/>
      <c r="AN103" s="216"/>
    </row>
    <row r="104">
      <c r="B104" s="267"/>
      <c r="C104" s="266"/>
      <c r="D104" s="266"/>
      <c r="E104" s="266"/>
      <c r="F104" s="266"/>
      <c r="G104" s="266"/>
      <c r="H104" s="266"/>
      <c r="I104" s="266"/>
      <c r="J104" s="266"/>
      <c r="K104" s="266"/>
      <c r="L104" s="266"/>
      <c r="M104" s="266"/>
      <c r="N104" s="266"/>
      <c r="O104" s="266"/>
      <c r="P104" s="266"/>
      <c r="Q104" s="266"/>
      <c r="R104" s="266"/>
      <c r="S104" s="216"/>
      <c r="T104" s="216"/>
      <c r="U104" s="217"/>
      <c r="V104" s="216"/>
      <c r="W104" s="216"/>
      <c r="X104" s="216"/>
      <c r="Y104" s="216"/>
      <c r="Z104" s="216"/>
      <c r="AA104" s="216"/>
      <c r="AB104" s="216"/>
      <c r="AC104" s="216"/>
      <c r="AD104" s="216"/>
      <c r="AE104" s="216"/>
      <c r="AF104" s="216"/>
      <c r="AG104" s="216"/>
      <c r="AH104" s="216"/>
      <c r="AI104" s="216"/>
      <c r="AJ104" s="216"/>
      <c r="AK104" s="216"/>
      <c r="AL104" s="216"/>
      <c r="AM104" s="216"/>
      <c r="AN104" s="216"/>
    </row>
    <row r="105">
      <c r="B105" s="267"/>
      <c r="C105" s="266"/>
      <c r="D105" s="266"/>
      <c r="E105" s="266"/>
      <c r="F105" s="266"/>
      <c r="G105" s="266"/>
      <c r="H105" s="266"/>
      <c r="I105" s="266"/>
      <c r="J105" s="266"/>
      <c r="K105" s="266"/>
      <c r="L105" s="266"/>
      <c r="M105" s="266"/>
      <c r="N105" s="266"/>
      <c r="O105" s="266"/>
      <c r="P105" s="266"/>
      <c r="Q105" s="266"/>
      <c r="R105" s="266"/>
      <c r="S105" s="216"/>
      <c r="T105" s="216"/>
      <c r="U105" s="217"/>
      <c r="V105" s="216"/>
      <c r="W105" s="216"/>
      <c r="X105" s="216"/>
      <c r="Y105" s="216"/>
      <c r="Z105" s="216"/>
      <c r="AA105" s="216"/>
      <c r="AB105" s="216"/>
      <c r="AC105" s="216"/>
      <c r="AD105" s="216"/>
      <c r="AE105" s="216"/>
      <c r="AF105" s="216"/>
      <c r="AG105" s="216"/>
      <c r="AH105" s="216"/>
      <c r="AI105" s="216"/>
      <c r="AJ105" s="216"/>
      <c r="AK105" s="216"/>
      <c r="AL105" s="216"/>
      <c r="AM105" s="216"/>
      <c r="AN105" s="216"/>
    </row>
    <row r="106">
      <c r="B106" s="267"/>
      <c r="C106" s="266"/>
      <c r="D106" s="266"/>
      <c r="E106" s="266"/>
      <c r="F106" s="266"/>
      <c r="G106" s="266"/>
      <c r="H106" s="266"/>
      <c r="I106" s="266"/>
      <c r="J106" s="266"/>
      <c r="K106" s="266"/>
      <c r="L106" s="266"/>
      <c r="M106" s="266"/>
      <c r="N106" s="266"/>
      <c r="O106" s="266"/>
      <c r="P106" s="266"/>
      <c r="Q106" s="266"/>
      <c r="R106" s="266"/>
      <c r="S106" s="216"/>
      <c r="T106" s="216"/>
      <c r="U106" s="217"/>
      <c r="V106" s="216"/>
      <c r="W106" s="216"/>
      <c r="X106" s="216"/>
      <c r="Y106" s="216"/>
      <c r="Z106" s="216"/>
      <c r="AA106" s="216"/>
      <c r="AB106" s="216"/>
      <c r="AC106" s="216"/>
      <c r="AD106" s="216"/>
      <c r="AE106" s="216"/>
      <c r="AF106" s="216"/>
      <c r="AG106" s="216"/>
      <c r="AH106" s="216"/>
      <c r="AI106" s="216"/>
      <c r="AJ106" s="216"/>
      <c r="AK106" s="216"/>
      <c r="AL106" s="216"/>
      <c r="AM106" s="216"/>
      <c r="AN106" s="216"/>
    </row>
    <row r="107">
      <c r="B107" s="267"/>
      <c r="C107" s="266"/>
      <c r="D107" s="266"/>
      <c r="E107" s="266"/>
      <c r="F107" s="266"/>
      <c r="G107" s="266"/>
      <c r="H107" s="266"/>
      <c r="I107" s="266"/>
      <c r="J107" s="266"/>
      <c r="K107" s="266"/>
      <c r="L107" s="266"/>
      <c r="M107" s="266"/>
      <c r="N107" s="266"/>
      <c r="O107" s="266"/>
      <c r="P107" s="266"/>
      <c r="Q107" s="266"/>
      <c r="R107" s="266"/>
      <c r="S107" s="216"/>
      <c r="T107" s="216"/>
      <c r="U107" s="217"/>
      <c r="V107" s="216"/>
      <c r="W107" s="216"/>
      <c r="X107" s="216"/>
      <c r="Y107" s="216"/>
      <c r="Z107" s="216"/>
      <c r="AA107" s="216"/>
      <c r="AB107" s="216"/>
      <c r="AC107" s="216"/>
      <c r="AD107" s="216"/>
      <c r="AE107" s="216"/>
      <c r="AF107" s="216"/>
      <c r="AG107" s="216"/>
      <c r="AH107" s="216"/>
      <c r="AI107" s="216"/>
      <c r="AJ107" s="216"/>
      <c r="AK107" s="216"/>
      <c r="AL107" s="216"/>
      <c r="AM107" s="216"/>
      <c r="AN107" s="216"/>
    </row>
    <row r="108">
      <c r="B108" s="267"/>
      <c r="C108" s="266"/>
      <c r="D108" s="266"/>
      <c r="E108" s="266"/>
      <c r="F108" s="266"/>
      <c r="G108" s="266"/>
      <c r="H108" s="266"/>
      <c r="I108" s="266"/>
      <c r="J108" s="266"/>
      <c r="K108" s="266"/>
      <c r="L108" s="266"/>
      <c r="M108" s="266"/>
      <c r="N108" s="266"/>
      <c r="O108" s="266"/>
      <c r="P108" s="266"/>
      <c r="Q108" s="266"/>
      <c r="R108" s="266"/>
      <c r="S108" s="216"/>
      <c r="T108" s="216"/>
      <c r="U108" s="217"/>
      <c r="V108" s="216"/>
      <c r="W108" s="216"/>
      <c r="X108" s="216"/>
      <c r="Y108" s="216"/>
      <c r="Z108" s="216"/>
      <c r="AA108" s="216"/>
      <c r="AB108" s="216"/>
      <c r="AC108" s="216"/>
      <c r="AD108" s="216"/>
      <c r="AE108" s="216"/>
      <c r="AF108" s="216"/>
      <c r="AG108" s="216"/>
      <c r="AH108" s="216"/>
      <c r="AI108" s="216"/>
      <c r="AJ108" s="216"/>
      <c r="AK108" s="216"/>
      <c r="AL108" s="216"/>
      <c r="AM108" s="216"/>
      <c r="AN108" s="216"/>
    </row>
    <row r="109">
      <c r="B109" s="267"/>
      <c r="C109" s="266"/>
      <c r="D109" s="266"/>
      <c r="E109" s="266"/>
      <c r="F109" s="266"/>
      <c r="G109" s="266"/>
      <c r="H109" s="266"/>
      <c r="I109" s="266"/>
      <c r="J109" s="266"/>
      <c r="K109" s="266"/>
      <c r="L109" s="266"/>
      <c r="M109" s="266"/>
      <c r="N109" s="266"/>
      <c r="O109" s="266"/>
      <c r="P109" s="266"/>
      <c r="Q109" s="266"/>
      <c r="R109" s="266"/>
      <c r="S109" s="216"/>
      <c r="T109" s="216"/>
      <c r="U109" s="217"/>
      <c r="V109" s="216"/>
      <c r="W109" s="216"/>
      <c r="X109" s="216"/>
      <c r="Y109" s="216"/>
      <c r="Z109" s="216"/>
      <c r="AA109" s="216"/>
      <c r="AB109" s="216"/>
      <c r="AC109" s="216"/>
      <c r="AD109" s="216"/>
      <c r="AE109" s="216"/>
      <c r="AF109" s="216"/>
      <c r="AG109" s="216"/>
      <c r="AH109" s="216"/>
      <c r="AI109" s="216"/>
      <c r="AJ109" s="216"/>
      <c r="AK109" s="216"/>
      <c r="AL109" s="216"/>
      <c r="AM109" s="216"/>
      <c r="AN109" s="216"/>
    </row>
    <row r="110">
      <c r="B110" s="267"/>
      <c r="C110" s="266"/>
      <c r="D110" s="266"/>
      <c r="E110" s="266"/>
      <c r="F110" s="266"/>
      <c r="G110" s="266"/>
      <c r="H110" s="266"/>
      <c r="I110" s="266"/>
      <c r="J110" s="266"/>
      <c r="K110" s="266"/>
      <c r="L110" s="266"/>
      <c r="M110" s="266"/>
      <c r="N110" s="266"/>
      <c r="O110" s="266"/>
      <c r="P110" s="266"/>
      <c r="Q110" s="266"/>
      <c r="R110" s="266"/>
      <c r="S110" s="216"/>
      <c r="T110" s="216"/>
      <c r="U110" s="217"/>
      <c r="V110" s="216"/>
      <c r="W110" s="216"/>
      <c r="X110" s="216"/>
      <c r="Y110" s="216"/>
      <c r="Z110" s="216"/>
      <c r="AA110" s="216"/>
      <c r="AB110" s="216"/>
      <c r="AC110" s="216"/>
      <c r="AD110" s="216"/>
      <c r="AE110" s="216"/>
      <c r="AF110" s="216"/>
      <c r="AG110" s="216"/>
      <c r="AH110" s="216"/>
      <c r="AI110" s="216"/>
      <c r="AJ110" s="216"/>
      <c r="AK110" s="216"/>
      <c r="AL110" s="216"/>
      <c r="AM110" s="216"/>
      <c r="AN110" s="216"/>
    </row>
    <row r="111">
      <c r="B111" s="267"/>
      <c r="C111" s="266"/>
      <c r="D111" s="266"/>
      <c r="E111" s="266"/>
      <c r="F111" s="266"/>
      <c r="G111" s="266"/>
      <c r="H111" s="266"/>
      <c r="I111" s="266"/>
      <c r="J111" s="266"/>
      <c r="K111" s="266"/>
      <c r="L111" s="266"/>
      <c r="M111" s="266"/>
      <c r="N111" s="266"/>
      <c r="O111" s="266"/>
      <c r="P111" s="266"/>
      <c r="Q111" s="266"/>
      <c r="R111" s="266"/>
      <c r="S111" s="216"/>
      <c r="T111" s="216"/>
      <c r="U111" s="217"/>
      <c r="V111" s="216"/>
      <c r="W111" s="216"/>
      <c r="X111" s="216"/>
      <c r="Y111" s="216"/>
      <c r="Z111" s="216"/>
      <c r="AA111" s="216"/>
      <c r="AB111" s="216"/>
      <c r="AC111" s="216"/>
      <c r="AD111" s="216"/>
      <c r="AE111" s="216"/>
      <c r="AF111" s="216"/>
      <c r="AG111" s="216"/>
      <c r="AH111" s="216"/>
      <c r="AI111" s="216"/>
      <c r="AJ111" s="216"/>
      <c r="AK111" s="216"/>
      <c r="AL111" s="216"/>
      <c r="AM111" s="216"/>
      <c r="AN111" s="216"/>
    </row>
    <row r="112">
      <c r="B112" s="267"/>
      <c r="C112" s="266"/>
      <c r="D112" s="266"/>
      <c r="E112" s="266"/>
      <c r="F112" s="266"/>
      <c r="G112" s="266"/>
      <c r="H112" s="266"/>
      <c r="I112" s="266"/>
      <c r="J112" s="266"/>
      <c r="K112" s="266"/>
      <c r="L112" s="266"/>
      <c r="M112" s="266"/>
      <c r="N112" s="266"/>
      <c r="O112" s="266"/>
      <c r="P112" s="266"/>
      <c r="Q112" s="266"/>
      <c r="R112" s="266"/>
      <c r="S112" s="216"/>
      <c r="T112" s="216"/>
      <c r="U112" s="217"/>
      <c r="V112" s="216"/>
      <c r="W112" s="216"/>
      <c r="X112" s="216"/>
      <c r="Y112" s="216"/>
      <c r="Z112" s="216"/>
      <c r="AA112" s="216"/>
      <c r="AB112" s="216"/>
      <c r="AC112" s="216"/>
      <c r="AD112" s="216"/>
      <c r="AE112" s="216"/>
      <c r="AF112" s="216"/>
      <c r="AG112" s="216"/>
      <c r="AH112" s="216"/>
      <c r="AI112" s="216"/>
      <c r="AJ112" s="216"/>
      <c r="AK112" s="216"/>
      <c r="AL112" s="216"/>
      <c r="AM112" s="216"/>
      <c r="AN112" s="216"/>
    </row>
    <row r="113">
      <c r="B113" s="267"/>
      <c r="C113" s="266"/>
      <c r="D113" s="266"/>
      <c r="E113" s="266"/>
      <c r="F113" s="266"/>
      <c r="G113" s="266"/>
      <c r="H113" s="266"/>
      <c r="I113" s="266"/>
      <c r="J113" s="266"/>
      <c r="K113" s="266"/>
      <c r="L113" s="266"/>
      <c r="M113" s="266"/>
      <c r="N113" s="266"/>
      <c r="O113" s="266"/>
      <c r="P113" s="266"/>
      <c r="Q113" s="266"/>
      <c r="R113" s="266"/>
      <c r="S113" s="216"/>
      <c r="T113" s="216"/>
      <c r="U113" s="217"/>
      <c r="V113" s="216"/>
      <c r="W113" s="216"/>
      <c r="X113" s="216"/>
      <c r="Y113" s="216"/>
      <c r="Z113" s="216"/>
      <c r="AA113" s="216"/>
      <c r="AB113" s="216"/>
      <c r="AC113" s="216"/>
      <c r="AD113" s="216"/>
      <c r="AE113" s="216"/>
      <c r="AF113" s="216"/>
      <c r="AG113" s="216"/>
      <c r="AH113" s="216"/>
      <c r="AI113" s="216"/>
      <c r="AJ113" s="216"/>
      <c r="AK113" s="216"/>
      <c r="AL113" s="216"/>
      <c r="AM113" s="216"/>
      <c r="AN113" s="216"/>
    </row>
    <row r="114">
      <c r="B114" s="267"/>
      <c r="C114" s="266"/>
      <c r="D114" s="266"/>
      <c r="E114" s="266"/>
      <c r="F114" s="266"/>
      <c r="G114" s="266"/>
      <c r="H114" s="266"/>
      <c r="I114" s="266"/>
      <c r="J114" s="266"/>
      <c r="K114" s="266"/>
      <c r="L114" s="266"/>
      <c r="M114" s="266"/>
      <c r="N114" s="266"/>
      <c r="O114" s="266"/>
      <c r="P114" s="266"/>
      <c r="Q114" s="266"/>
      <c r="R114" s="266"/>
      <c r="S114" s="216"/>
      <c r="T114" s="216"/>
      <c r="U114" s="217"/>
      <c r="V114" s="216"/>
      <c r="W114" s="216"/>
      <c r="X114" s="216"/>
      <c r="Y114" s="216"/>
      <c r="Z114" s="216"/>
      <c r="AA114" s="216"/>
      <c r="AB114" s="216"/>
      <c r="AC114" s="216"/>
      <c r="AD114" s="216"/>
      <c r="AE114" s="216"/>
      <c r="AF114" s="216"/>
      <c r="AG114" s="216"/>
      <c r="AH114" s="216"/>
      <c r="AI114" s="216"/>
      <c r="AJ114" s="216"/>
      <c r="AK114" s="216"/>
      <c r="AL114" s="216"/>
      <c r="AM114" s="216"/>
      <c r="AN114" s="216"/>
    </row>
    <row r="115">
      <c r="B115" s="267"/>
      <c r="C115" s="266"/>
      <c r="D115" s="266"/>
      <c r="E115" s="266"/>
      <c r="F115" s="266"/>
      <c r="G115" s="266"/>
      <c r="H115" s="266"/>
      <c r="I115" s="266"/>
      <c r="J115" s="266"/>
      <c r="K115" s="266"/>
      <c r="L115" s="266"/>
      <c r="M115" s="266"/>
      <c r="N115" s="266"/>
      <c r="O115" s="266"/>
      <c r="P115" s="266"/>
      <c r="Q115" s="266"/>
      <c r="R115" s="266"/>
      <c r="S115" s="216"/>
      <c r="T115" s="216"/>
      <c r="U115" s="217"/>
      <c r="V115" s="216"/>
      <c r="W115" s="216"/>
      <c r="X115" s="216"/>
      <c r="Y115" s="216"/>
      <c r="Z115" s="216"/>
      <c r="AA115" s="216"/>
      <c r="AB115" s="216"/>
      <c r="AC115" s="216"/>
      <c r="AD115" s="216"/>
      <c r="AE115" s="216"/>
      <c r="AF115" s="216"/>
      <c r="AG115" s="216"/>
      <c r="AH115" s="216"/>
      <c r="AI115" s="216"/>
      <c r="AJ115" s="216"/>
      <c r="AK115" s="216"/>
      <c r="AL115" s="216"/>
      <c r="AM115" s="216"/>
      <c r="AN115" s="216"/>
    </row>
    <row r="116">
      <c r="B116" s="267"/>
      <c r="C116" s="266"/>
      <c r="D116" s="266"/>
      <c r="E116" s="266"/>
      <c r="F116" s="266"/>
      <c r="G116" s="266"/>
      <c r="H116" s="266"/>
      <c r="I116" s="266"/>
      <c r="J116" s="266"/>
      <c r="K116" s="266"/>
      <c r="L116" s="266"/>
      <c r="M116" s="266"/>
      <c r="N116" s="266"/>
      <c r="O116" s="266"/>
      <c r="P116" s="266"/>
      <c r="Q116" s="266"/>
      <c r="R116" s="266"/>
      <c r="S116" s="216"/>
      <c r="T116" s="216"/>
      <c r="U116" s="217"/>
      <c r="V116" s="216"/>
      <c r="W116" s="216"/>
      <c r="X116" s="216"/>
      <c r="Y116" s="216"/>
      <c r="Z116" s="216"/>
      <c r="AA116" s="216"/>
      <c r="AB116" s="216"/>
      <c r="AC116" s="216"/>
      <c r="AD116" s="216"/>
      <c r="AE116" s="216"/>
      <c r="AF116" s="216"/>
      <c r="AG116" s="216"/>
      <c r="AH116" s="216"/>
      <c r="AI116" s="216"/>
      <c r="AJ116" s="216"/>
      <c r="AK116" s="216"/>
      <c r="AL116" s="216"/>
      <c r="AM116" s="216"/>
      <c r="AN116" s="216"/>
    </row>
    <row r="117">
      <c r="B117" s="267"/>
      <c r="C117" s="266"/>
      <c r="D117" s="266"/>
      <c r="E117" s="266"/>
      <c r="F117" s="266"/>
      <c r="G117" s="266"/>
      <c r="H117" s="266"/>
      <c r="I117" s="266"/>
      <c r="J117" s="266"/>
      <c r="K117" s="266"/>
      <c r="L117" s="266"/>
      <c r="M117" s="266"/>
      <c r="N117" s="266"/>
      <c r="O117" s="266"/>
      <c r="P117" s="266"/>
      <c r="Q117" s="266"/>
      <c r="R117" s="266"/>
      <c r="S117" s="216"/>
      <c r="T117" s="216"/>
      <c r="U117" s="217"/>
      <c r="V117" s="216"/>
      <c r="W117" s="216"/>
      <c r="X117" s="216"/>
      <c r="Y117" s="216"/>
      <c r="Z117" s="216"/>
      <c r="AA117" s="216"/>
      <c r="AB117" s="216"/>
      <c r="AC117" s="216"/>
      <c r="AD117" s="216"/>
      <c r="AE117" s="216"/>
      <c r="AF117" s="216"/>
      <c r="AG117" s="216"/>
      <c r="AH117" s="216"/>
      <c r="AI117" s="216"/>
      <c r="AJ117" s="216"/>
      <c r="AK117" s="216"/>
      <c r="AL117" s="216"/>
      <c r="AM117" s="216"/>
      <c r="AN117" s="216"/>
    </row>
    <row r="118">
      <c r="B118" s="267"/>
      <c r="C118" s="266"/>
      <c r="D118" s="266"/>
      <c r="E118" s="266"/>
      <c r="F118" s="266"/>
      <c r="G118" s="266"/>
      <c r="H118" s="266"/>
      <c r="I118" s="266"/>
      <c r="J118" s="266"/>
      <c r="K118" s="266"/>
      <c r="L118" s="266"/>
      <c r="M118" s="266"/>
      <c r="N118" s="266"/>
      <c r="O118" s="266"/>
      <c r="P118" s="266"/>
      <c r="Q118" s="266"/>
      <c r="R118" s="266"/>
      <c r="S118" s="216"/>
      <c r="T118" s="216"/>
      <c r="U118" s="217"/>
      <c r="V118" s="216"/>
      <c r="W118" s="216"/>
      <c r="X118" s="216"/>
      <c r="Y118" s="216"/>
      <c r="Z118" s="216"/>
      <c r="AA118" s="216"/>
      <c r="AB118" s="216"/>
      <c r="AC118" s="216"/>
      <c r="AD118" s="216"/>
      <c r="AE118" s="216"/>
      <c r="AF118" s="216"/>
      <c r="AG118" s="216"/>
      <c r="AH118" s="216"/>
      <c r="AI118" s="216"/>
      <c r="AJ118" s="216"/>
      <c r="AK118" s="216"/>
      <c r="AL118" s="216"/>
      <c r="AM118" s="216"/>
      <c r="AN118" s="216"/>
    </row>
    <row r="119">
      <c r="B119" s="267"/>
      <c r="C119" s="266"/>
      <c r="D119" s="266"/>
      <c r="E119" s="266"/>
      <c r="F119" s="266"/>
      <c r="G119" s="266"/>
      <c r="H119" s="266"/>
      <c r="I119" s="266"/>
      <c r="J119" s="266"/>
      <c r="K119" s="266"/>
      <c r="L119" s="266"/>
      <c r="M119" s="266"/>
      <c r="N119" s="266"/>
      <c r="O119" s="266"/>
      <c r="P119" s="266"/>
      <c r="Q119" s="266"/>
      <c r="R119" s="266"/>
      <c r="S119" s="216"/>
      <c r="T119" s="216"/>
      <c r="U119" s="217"/>
      <c r="V119" s="216"/>
      <c r="W119" s="216"/>
      <c r="X119" s="216"/>
      <c r="Y119" s="216"/>
      <c r="Z119" s="216"/>
      <c r="AA119" s="216"/>
      <c r="AB119" s="216"/>
      <c r="AC119" s="216"/>
      <c r="AD119" s="216"/>
      <c r="AE119" s="216"/>
      <c r="AF119" s="216"/>
      <c r="AG119" s="216"/>
      <c r="AH119" s="216"/>
      <c r="AI119" s="216"/>
      <c r="AJ119" s="216"/>
      <c r="AK119" s="216"/>
      <c r="AL119" s="216"/>
      <c r="AM119" s="216"/>
      <c r="AN119" s="216"/>
    </row>
    <row r="120">
      <c r="B120" s="267"/>
      <c r="C120" s="266"/>
      <c r="D120" s="266"/>
      <c r="E120" s="266"/>
      <c r="F120" s="266"/>
      <c r="G120" s="266"/>
      <c r="H120" s="266"/>
      <c r="I120" s="266"/>
      <c r="J120" s="266"/>
      <c r="K120" s="266"/>
      <c r="L120" s="266"/>
      <c r="M120" s="266"/>
      <c r="N120" s="266"/>
      <c r="O120" s="266"/>
      <c r="P120" s="266"/>
      <c r="Q120" s="266"/>
      <c r="R120" s="266"/>
      <c r="S120" s="216"/>
      <c r="T120" s="216"/>
      <c r="U120" s="217"/>
      <c r="V120" s="216"/>
      <c r="W120" s="216"/>
      <c r="X120" s="216"/>
      <c r="Y120" s="216"/>
      <c r="Z120" s="216"/>
      <c r="AA120" s="216"/>
      <c r="AB120" s="216"/>
      <c r="AC120" s="216"/>
      <c r="AD120" s="216"/>
      <c r="AE120" s="216"/>
      <c r="AF120" s="216"/>
      <c r="AG120" s="216"/>
      <c r="AH120" s="216"/>
      <c r="AI120" s="216"/>
      <c r="AJ120" s="216"/>
      <c r="AK120" s="216"/>
      <c r="AL120" s="216"/>
      <c r="AM120" s="216"/>
      <c r="AN120" s="216"/>
    </row>
    <row r="121">
      <c r="B121" s="267"/>
      <c r="C121" s="266"/>
      <c r="D121" s="266"/>
      <c r="E121" s="266"/>
      <c r="F121" s="266"/>
      <c r="G121" s="266"/>
      <c r="H121" s="266"/>
      <c r="I121" s="266"/>
      <c r="J121" s="266"/>
      <c r="K121" s="266"/>
      <c r="L121" s="266"/>
      <c r="M121" s="266"/>
      <c r="N121" s="266"/>
      <c r="O121" s="266"/>
      <c r="P121" s="266"/>
      <c r="Q121" s="266"/>
      <c r="R121" s="266"/>
      <c r="S121" s="216"/>
      <c r="T121" s="216"/>
      <c r="U121" s="217"/>
      <c r="V121" s="216"/>
      <c r="W121" s="216"/>
      <c r="X121" s="216"/>
      <c r="Y121" s="216"/>
      <c r="Z121" s="216"/>
      <c r="AA121" s="216"/>
      <c r="AB121" s="216"/>
      <c r="AC121" s="216"/>
      <c r="AD121" s="216"/>
      <c r="AE121" s="216"/>
      <c r="AF121" s="216"/>
      <c r="AG121" s="216"/>
      <c r="AH121" s="216"/>
      <c r="AI121" s="216"/>
      <c r="AJ121" s="216"/>
      <c r="AK121" s="216"/>
      <c r="AL121" s="216"/>
      <c r="AM121" s="216"/>
      <c r="AN121" s="216"/>
    </row>
    <row r="122">
      <c r="B122" s="267"/>
      <c r="C122" s="266"/>
      <c r="D122" s="266"/>
      <c r="E122" s="266"/>
      <c r="F122" s="266"/>
      <c r="G122" s="266"/>
      <c r="H122" s="266"/>
      <c r="I122" s="266"/>
      <c r="J122" s="266"/>
      <c r="K122" s="266"/>
      <c r="L122" s="266"/>
      <c r="M122" s="266"/>
      <c r="N122" s="266"/>
      <c r="O122" s="266"/>
      <c r="P122" s="266"/>
      <c r="Q122" s="266"/>
      <c r="R122" s="266"/>
      <c r="S122" s="216"/>
      <c r="T122" s="216"/>
      <c r="U122" s="217"/>
      <c r="V122" s="216"/>
      <c r="W122" s="216"/>
      <c r="X122" s="216"/>
      <c r="Y122" s="216"/>
      <c r="Z122" s="216"/>
      <c r="AA122" s="216"/>
      <c r="AB122" s="216"/>
      <c r="AC122" s="216"/>
      <c r="AD122" s="216"/>
      <c r="AE122" s="216"/>
      <c r="AF122" s="216"/>
      <c r="AG122" s="216"/>
      <c r="AH122" s="216"/>
      <c r="AI122" s="216"/>
      <c r="AJ122" s="216"/>
      <c r="AK122" s="216"/>
      <c r="AL122" s="216"/>
      <c r="AM122" s="216"/>
      <c r="AN122" s="216"/>
    </row>
    <row r="123">
      <c r="B123" s="267"/>
      <c r="C123" s="266"/>
      <c r="D123" s="266"/>
      <c r="E123" s="266"/>
      <c r="F123" s="266"/>
      <c r="G123" s="266"/>
      <c r="H123" s="266"/>
      <c r="I123" s="266"/>
      <c r="J123" s="266"/>
      <c r="K123" s="266"/>
      <c r="L123" s="266"/>
      <c r="M123" s="266"/>
      <c r="N123" s="266"/>
      <c r="O123" s="266"/>
      <c r="P123" s="266"/>
      <c r="Q123" s="266"/>
      <c r="R123" s="266"/>
      <c r="S123" s="216"/>
      <c r="T123" s="216"/>
      <c r="U123" s="217"/>
      <c r="V123" s="216"/>
      <c r="W123" s="216"/>
      <c r="X123" s="216"/>
      <c r="Y123" s="216"/>
      <c r="Z123" s="216"/>
      <c r="AA123" s="216"/>
      <c r="AB123" s="216"/>
      <c r="AC123" s="216"/>
      <c r="AD123" s="216"/>
      <c r="AE123" s="216"/>
      <c r="AF123" s="216"/>
      <c r="AG123" s="216"/>
      <c r="AH123" s="216"/>
      <c r="AI123" s="216"/>
      <c r="AJ123" s="216"/>
      <c r="AK123" s="216"/>
      <c r="AL123" s="216"/>
      <c r="AM123" s="216"/>
      <c r="AN123" s="216"/>
    </row>
    <row r="124">
      <c r="B124" s="267"/>
      <c r="C124" s="266"/>
      <c r="D124" s="266"/>
      <c r="E124" s="266"/>
      <c r="F124" s="266"/>
      <c r="G124" s="266"/>
      <c r="H124" s="266"/>
      <c r="I124" s="266"/>
      <c r="J124" s="266"/>
      <c r="K124" s="266"/>
      <c r="L124" s="266"/>
      <c r="M124" s="266"/>
      <c r="N124" s="266"/>
      <c r="O124" s="266"/>
      <c r="P124" s="266"/>
      <c r="Q124" s="266"/>
      <c r="R124" s="266"/>
      <c r="S124" s="216"/>
      <c r="T124" s="216"/>
      <c r="U124" s="217"/>
      <c r="V124" s="216"/>
      <c r="W124" s="216"/>
      <c r="X124" s="216"/>
      <c r="Y124" s="216"/>
      <c r="Z124" s="216"/>
      <c r="AA124" s="216"/>
      <c r="AB124" s="216"/>
      <c r="AC124" s="216"/>
      <c r="AD124" s="216"/>
      <c r="AE124" s="216"/>
      <c r="AF124" s="216"/>
      <c r="AG124" s="216"/>
      <c r="AH124" s="216"/>
      <c r="AI124" s="216"/>
      <c r="AJ124" s="216"/>
      <c r="AK124" s="216"/>
      <c r="AL124" s="216"/>
      <c r="AM124" s="216"/>
      <c r="AN124" s="216"/>
    </row>
    <row r="125">
      <c r="B125" s="267"/>
      <c r="C125" s="266"/>
      <c r="D125" s="266"/>
      <c r="E125" s="266"/>
      <c r="F125" s="266"/>
      <c r="G125" s="266"/>
      <c r="H125" s="266"/>
      <c r="I125" s="266"/>
      <c r="J125" s="266"/>
      <c r="K125" s="266"/>
      <c r="L125" s="266"/>
      <c r="M125" s="266"/>
      <c r="N125" s="266"/>
      <c r="O125" s="266"/>
      <c r="P125" s="266"/>
      <c r="Q125" s="266"/>
      <c r="R125" s="266"/>
      <c r="S125" s="216"/>
      <c r="T125" s="216"/>
      <c r="U125" s="217"/>
      <c r="V125" s="216"/>
      <c r="W125" s="216"/>
      <c r="X125" s="216"/>
      <c r="Y125" s="216"/>
      <c r="Z125" s="216"/>
      <c r="AA125" s="216"/>
      <c r="AB125" s="216"/>
      <c r="AC125" s="216"/>
      <c r="AD125" s="216"/>
      <c r="AE125" s="216"/>
      <c r="AF125" s="216"/>
      <c r="AG125" s="216"/>
      <c r="AH125" s="216"/>
      <c r="AI125" s="216"/>
      <c r="AJ125" s="216"/>
      <c r="AK125" s="216"/>
      <c r="AL125" s="216"/>
      <c r="AM125" s="216"/>
      <c r="AN125" s="216"/>
    </row>
    <row r="126">
      <c r="B126" s="267"/>
      <c r="C126" s="266"/>
      <c r="D126" s="266"/>
      <c r="E126" s="266"/>
      <c r="F126" s="266"/>
      <c r="G126" s="266"/>
      <c r="H126" s="266"/>
      <c r="I126" s="266"/>
      <c r="J126" s="266"/>
      <c r="K126" s="266"/>
      <c r="L126" s="266"/>
      <c r="M126" s="266"/>
      <c r="N126" s="266"/>
      <c r="O126" s="266"/>
      <c r="P126" s="266"/>
      <c r="Q126" s="266"/>
      <c r="R126" s="266"/>
      <c r="S126" s="216"/>
      <c r="T126" s="216"/>
      <c r="U126" s="217"/>
      <c r="V126" s="216"/>
      <c r="W126" s="216"/>
      <c r="X126" s="216"/>
      <c r="Y126" s="216"/>
      <c r="Z126" s="216"/>
      <c r="AA126" s="216"/>
      <c r="AB126" s="216"/>
      <c r="AC126" s="216"/>
      <c r="AD126" s="216"/>
      <c r="AE126" s="216"/>
      <c r="AF126" s="216"/>
      <c r="AG126" s="216"/>
      <c r="AH126" s="216"/>
      <c r="AI126" s="216"/>
      <c r="AJ126" s="216"/>
      <c r="AK126" s="216"/>
      <c r="AL126" s="216"/>
      <c r="AM126" s="216"/>
      <c r="AN126" s="216"/>
    </row>
    <row r="127">
      <c r="B127" s="267"/>
      <c r="C127" s="266"/>
      <c r="D127" s="266"/>
      <c r="E127" s="266"/>
      <c r="F127" s="266"/>
      <c r="G127" s="266"/>
      <c r="H127" s="266"/>
      <c r="I127" s="266"/>
      <c r="J127" s="266"/>
      <c r="K127" s="266"/>
      <c r="L127" s="266"/>
      <c r="M127" s="266"/>
      <c r="N127" s="266"/>
      <c r="O127" s="266"/>
      <c r="P127" s="266"/>
      <c r="Q127" s="266"/>
      <c r="R127" s="266"/>
      <c r="S127" s="216"/>
      <c r="T127" s="216"/>
      <c r="U127" s="217"/>
      <c r="V127" s="216"/>
      <c r="W127" s="216"/>
      <c r="X127" s="216"/>
      <c r="Y127" s="216"/>
      <c r="Z127" s="216"/>
      <c r="AA127" s="216"/>
      <c r="AB127" s="216"/>
      <c r="AC127" s="216"/>
      <c r="AD127" s="216"/>
      <c r="AE127" s="216"/>
      <c r="AF127" s="216"/>
      <c r="AG127" s="216"/>
      <c r="AH127" s="216"/>
      <c r="AI127" s="216"/>
      <c r="AJ127" s="216"/>
      <c r="AK127" s="216"/>
      <c r="AL127" s="216"/>
      <c r="AM127" s="216"/>
      <c r="AN127" s="216"/>
    </row>
    <row r="128">
      <c r="B128" s="267"/>
      <c r="C128" s="266"/>
      <c r="D128" s="266"/>
      <c r="E128" s="266"/>
      <c r="F128" s="266"/>
      <c r="G128" s="266"/>
      <c r="H128" s="266"/>
      <c r="I128" s="266"/>
      <c r="J128" s="266"/>
      <c r="K128" s="266"/>
      <c r="L128" s="266"/>
      <c r="M128" s="266"/>
      <c r="N128" s="266"/>
      <c r="O128" s="266"/>
      <c r="P128" s="266"/>
      <c r="Q128" s="266"/>
      <c r="R128" s="266"/>
      <c r="S128" s="216"/>
      <c r="T128" s="216"/>
      <c r="U128" s="217"/>
      <c r="V128" s="216"/>
      <c r="W128" s="216"/>
      <c r="X128" s="216"/>
      <c r="Y128" s="216"/>
      <c r="Z128" s="216"/>
      <c r="AA128" s="216"/>
      <c r="AB128" s="216"/>
      <c r="AC128" s="216"/>
      <c r="AD128" s="216"/>
      <c r="AE128" s="216"/>
      <c r="AF128" s="216"/>
      <c r="AG128" s="216"/>
      <c r="AH128" s="216"/>
      <c r="AI128" s="216"/>
      <c r="AJ128" s="216"/>
      <c r="AK128" s="216"/>
      <c r="AL128" s="216"/>
      <c r="AM128" s="216"/>
      <c r="AN128" s="216"/>
    </row>
    <row r="129">
      <c r="B129" s="267"/>
      <c r="C129" s="266"/>
      <c r="D129" s="266"/>
      <c r="E129" s="266"/>
      <c r="F129" s="266"/>
      <c r="G129" s="266"/>
      <c r="H129" s="266"/>
      <c r="I129" s="266"/>
      <c r="J129" s="266"/>
      <c r="K129" s="266"/>
      <c r="L129" s="266"/>
      <c r="M129" s="266"/>
      <c r="N129" s="266"/>
      <c r="O129" s="266"/>
      <c r="P129" s="266"/>
      <c r="Q129" s="266"/>
      <c r="R129" s="266"/>
      <c r="S129" s="216"/>
      <c r="T129" s="216"/>
      <c r="U129" s="217"/>
      <c r="V129" s="216"/>
      <c r="W129" s="216"/>
      <c r="X129" s="216"/>
      <c r="Y129" s="216"/>
      <c r="Z129" s="216"/>
      <c r="AA129" s="216"/>
      <c r="AB129" s="216"/>
      <c r="AC129" s="216"/>
      <c r="AD129" s="216"/>
      <c r="AE129" s="216"/>
      <c r="AF129" s="216"/>
      <c r="AG129" s="216"/>
      <c r="AH129" s="216"/>
      <c r="AI129" s="216"/>
      <c r="AJ129" s="216"/>
      <c r="AK129" s="216"/>
      <c r="AL129" s="216"/>
      <c r="AM129" s="216"/>
      <c r="AN129" s="216"/>
    </row>
    <row r="130">
      <c r="B130" s="267"/>
      <c r="C130" s="266"/>
      <c r="D130" s="266"/>
      <c r="E130" s="266"/>
      <c r="F130" s="266"/>
      <c r="G130" s="266"/>
      <c r="H130" s="266"/>
      <c r="I130" s="266"/>
      <c r="J130" s="266"/>
      <c r="K130" s="266"/>
      <c r="L130" s="266"/>
      <c r="M130" s="266"/>
      <c r="N130" s="266"/>
      <c r="O130" s="266"/>
      <c r="P130" s="266"/>
      <c r="Q130" s="266"/>
      <c r="R130" s="266"/>
      <c r="S130" s="216"/>
      <c r="T130" s="216"/>
      <c r="U130" s="217"/>
      <c r="V130" s="216"/>
      <c r="W130" s="216"/>
      <c r="X130" s="216"/>
      <c r="Y130" s="216"/>
      <c r="Z130" s="216"/>
      <c r="AA130" s="216"/>
      <c r="AB130" s="216"/>
      <c r="AC130" s="216"/>
      <c r="AD130" s="216"/>
      <c r="AE130" s="216"/>
      <c r="AF130" s="216"/>
      <c r="AG130" s="216"/>
      <c r="AH130" s="216"/>
      <c r="AI130" s="216"/>
      <c r="AJ130" s="216"/>
      <c r="AK130" s="216"/>
      <c r="AL130" s="216"/>
      <c r="AM130" s="216"/>
      <c r="AN130" s="216"/>
    </row>
    <row r="131">
      <c r="B131" s="267"/>
      <c r="C131" s="266"/>
      <c r="D131" s="266"/>
      <c r="E131" s="266"/>
      <c r="F131" s="266"/>
      <c r="G131" s="266"/>
      <c r="H131" s="266"/>
      <c r="I131" s="266"/>
      <c r="J131" s="266"/>
      <c r="K131" s="266"/>
      <c r="L131" s="266"/>
      <c r="M131" s="266"/>
      <c r="N131" s="266"/>
      <c r="O131" s="266"/>
      <c r="P131" s="266"/>
      <c r="Q131" s="266"/>
      <c r="R131" s="266"/>
      <c r="S131" s="216"/>
      <c r="T131" s="216"/>
      <c r="U131" s="217"/>
      <c r="V131" s="216"/>
      <c r="W131" s="216"/>
      <c r="X131" s="216"/>
      <c r="Y131" s="216"/>
      <c r="Z131" s="216"/>
      <c r="AA131" s="216"/>
      <c r="AB131" s="216"/>
      <c r="AC131" s="216"/>
      <c r="AD131" s="216"/>
      <c r="AE131" s="216"/>
      <c r="AF131" s="216"/>
      <c r="AG131" s="216"/>
      <c r="AH131" s="216"/>
      <c r="AI131" s="216"/>
      <c r="AJ131" s="216"/>
      <c r="AK131" s="216"/>
      <c r="AL131" s="216"/>
      <c r="AM131" s="216"/>
      <c r="AN131" s="216"/>
    </row>
    <row r="132">
      <c r="B132" s="267"/>
      <c r="C132" s="266"/>
      <c r="D132" s="266"/>
      <c r="E132" s="266"/>
      <c r="F132" s="266"/>
      <c r="G132" s="266"/>
      <c r="H132" s="266"/>
      <c r="I132" s="266"/>
      <c r="J132" s="266"/>
      <c r="K132" s="266"/>
      <c r="L132" s="266"/>
      <c r="M132" s="266"/>
      <c r="N132" s="266"/>
      <c r="O132" s="266"/>
      <c r="P132" s="266"/>
      <c r="Q132" s="266"/>
      <c r="R132" s="266"/>
      <c r="S132" s="216"/>
      <c r="T132" s="216"/>
      <c r="U132" s="217"/>
      <c r="V132" s="216"/>
      <c r="W132" s="216"/>
      <c r="X132" s="216"/>
      <c r="Y132" s="216"/>
      <c r="Z132" s="216"/>
      <c r="AA132" s="216"/>
      <c r="AB132" s="216"/>
      <c r="AC132" s="216"/>
      <c r="AD132" s="216"/>
      <c r="AE132" s="216"/>
      <c r="AF132" s="216"/>
      <c r="AG132" s="216"/>
      <c r="AH132" s="216"/>
      <c r="AI132" s="216"/>
      <c r="AJ132" s="216"/>
      <c r="AK132" s="216"/>
      <c r="AL132" s="216"/>
      <c r="AM132" s="216"/>
      <c r="AN132" s="216"/>
    </row>
    <row r="133">
      <c r="B133" s="267"/>
      <c r="C133" s="266"/>
      <c r="D133" s="266"/>
      <c r="E133" s="266"/>
      <c r="F133" s="266"/>
      <c r="G133" s="266"/>
      <c r="H133" s="266"/>
      <c r="I133" s="266"/>
      <c r="J133" s="266"/>
      <c r="K133" s="266"/>
      <c r="L133" s="266"/>
      <c r="M133" s="266"/>
      <c r="N133" s="266"/>
      <c r="O133" s="266"/>
      <c r="P133" s="266"/>
      <c r="Q133" s="266"/>
      <c r="R133" s="266"/>
      <c r="S133" s="216"/>
      <c r="T133" s="216"/>
      <c r="U133" s="217"/>
      <c r="V133" s="216"/>
      <c r="W133" s="216"/>
      <c r="X133" s="216"/>
      <c r="Y133" s="216"/>
      <c r="Z133" s="216"/>
      <c r="AA133" s="216"/>
      <c r="AB133" s="216"/>
      <c r="AC133" s="216"/>
      <c r="AD133" s="216"/>
      <c r="AE133" s="216"/>
      <c r="AF133" s="216"/>
      <c r="AG133" s="216"/>
      <c r="AH133" s="216"/>
      <c r="AI133" s="216"/>
      <c r="AJ133" s="216"/>
      <c r="AK133" s="216"/>
      <c r="AL133" s="216"/>
      <c r="AM133" s="216"/>
      <c r="AN133" s="216"/>
    </row>
    <row r="134">
      <c r="B134" s="267"/>
      <c r="C134" s="266"/>
      <c r="D134" s="266"/>
      <c r="E134" s="266"/>
      <c r="F134" s="266"/>
      <c r="G134" s="266"/>
      <c r="H134" s="266"/>
      <c r="I134" s="266"/>
      <c r="J134" s="266"/>
      <c r="K134" s="266"/>
      <c r="L134" s="266"/>
      <c r="M134" s="266"/>
      <c r="N134" s="266"/>
      <c r="O134" s="266"/>
      <c r="P134" s="266"/>
      <c r="Q134" s="266"/>
      <c r="R134" s="266"/>
      <c r="S134" s="216"/>
      <c r="T134" s="216"/>
      <c r="U134" s="217"/>
      <c r="V134" s="216"/>
      <c r="W134" s="216"/>
      <c r="X134" s="216"/>
      <c r="Y134" s="216"/>
      <c r="Z134" s="216"/>
      <c r="AA134" s="216"/>
      <c r="AB134" s="216"/>
      <c r="AC134" s="216"/>
      <c r="AD134" s="216"/>
      <c r="AE134" s="216"/>
      <c r="AF134" s="216"/>
      <c r="AG134" s="216"/>
      <c r="AH134" s="216"/>
      <c r="AI134" s="216"/>
      <c r="AJ134" s="216"/>
      <c r="AK134" s="216"/>
      <c r="AL134" s="216"/>
      <c r="AM134" s="216"/>
      <c r="AN134" s="216"/>
    </row>
    <row r="135">
      <c r="B135" s="267"/>
      <c r="C135" s="266"/>
      <c r="D135" s="266"/>
      <c r="E135" s="266"/>
      <c r="F135" s="266"/>
      <c r="G135" s="266"/>
      <c r="H135" s="266"/>
      <c r="I135" s="266"/>
      <c r="J135" s="266"/>
      <c r="K135" s="266"/>
      <c r="L135" s="266"/>
      <c r="M135" s="266"/>
      <c r="N135" s="266"/>
      <c r="O135" s="266"/>
      <c r="P135" s="266"/>
      <c r="Q135" s="266"/>
      <c r="R135" s="266"/>
      <c r="S135" s="216"/>
      <c r="T135" s="216"/>
      <c r="U135" s="217"/>
      <c r="V135" s="216"/>
      <c r="W135" s="216"/>
      <c r="X135" s="216"/>
      <c r="Y135" s="216"/>
      <c r="Z135" s="216"/>
      <c r="AA135" s="216"/>
      <c r="AB135" s="216"/>
      <c r="AC135" s="216"/>
      <c r="AD135" s="216"/>
      <c r="AE135" s="216"/>
      <c r="AF135" s="216"/>
      <c r="AG135" s="216"/>
      <c r="AH135" s="216"/>
      <c r="AI135" s="216"/>
      <c r="AJ135" s="216"/>
      <c r="AK135" s="216"/>
      <c r="AL135" s="216"/>
      <c r="AM135" s="216"/>
      <c r="AN135" s="216"/>
    </row>
    <row r="136">
      <c r="B136" s="267"/>
      <c r="C136" s="266"/>
      <c r="D136" s="266"/>
      <c r="E136" s="266"/>
      <c r="F136" s="266"/>
      <c r="G136" s="266"/>
      <c r="H136" s="266"/>
      <c r="I136" s="266"/>
      <c r="J136" s="266"/>
      <c r="K136" s="266"/>
      <c r="L136" s="266"/>
      <c r="M136" s="266"/>
      <c r="N136" s="266"/>
      <c r="O136" s="266"/>
      <c r="P136" s="266"/>
      <c r="Q136" s="266"/>
      <c r="R136" s="266"/>
      <c r="S136" s="216"/>
      <c r="T136" s="216"/>
      <c r="U136" s="217"/>
      <c r="V136" s="216"/>
      <c r="W136" s="216"/>
      <c r="X136" s="216"/>
      <c r="Y136" s="216"/>
      <c r="Z136" s="216"/>
      <c r="AA136" s="216"/>
      <c r="AB136" s="216"/>
      <c r="AC136" s="216"/>
      <c r="AD136" s="216"/>
      <c r="AE136" s="216"/>
      <c r="AF136" s="216"/>
      <c r="AG136" s="216"/>
      <c r="AH136" s="216"/>
      <c r="AI136" s="216"/>
      <c r="AJ136" s="216"/>
      <c r="AK136" s="216"/>
      <c r="AL136" s="216"/>
      <c r="AM136" s="216"/>
      <c r="AN136" s="216"/>
    </row>
    <row r="137">
      <c r="B137" s="267"/>
      <c r="C137" s="266"/>
      <c r="D137" s="266"/>
      <c r="E137" s="266"/>
      <c r="F137" s="266"/>
      <c r="G137" s="266"/>
      <c r="H137" s="266"/>
      <c r="I137" s="266"/>
      <c r="J137" s="266"/>
      <c r="K137" s="266"/>
      <c r="L137" s="266"/>
      <c r="M137" s="266"/>
      <c r="N137" s="266"/>
      <c r="O137" s="266"/>
      <c r="P137" s="266"/>
      <c r="Q137" s="266"/>
      <c r="R137" s="266"/>
      <c r="S137" s="216"/>
      <c r="T137" s="216"/>
      <c r="U137" s="217"/>
      <c r="V137" s="216"/>
      <c r="W137" s="216"/>
      <c r="X137" s="216"/>
      <c r="Y137" s="216"/>
      <c r="Z137" s="216"/>
      <c r="AA137" s="216"/>
      <c r="AB137" s="216"/>
      <c r="AC137" s="216"/>
      <c r="AD137" s="216"/>
      <c r="AE137" s="216"/>
      <c r="AF137" s="216"/>
      <c r="AG137" s="216"/>
      <c r="AH137" s="216"/>
      <c r="AI137" s="216"/>
      <c r="AJ137" s="216"/>
      <c r="AK137" s="216"/>
      <c r="AL137" s="216"/>
      <c r="AM137" s="216"/>
      <c r="AN137" s="216"/>
    </row>
    <row r="138">
      <c r="B138" s="267"/>
      <c r="C138" s="266"/>
      <c r="D138" s="266"/>
      <c r="E138" s="266"/>
      <c r="F138" s="266"/>
      <c r="G138" s="266"/>
      <c r="H138" s="266"/>
      <c r="I138" s="266"/>
      <c r="J138" s="266"/>
      <c r="K138" s="266"/>
      <c r="L138" s="266"/>
      <c r="M138" s="266"/>
      <c r="N138" s="266"/>
      <c r="O138" s="266"/>
      <c r="P138" s="266"/>
      <c r="Q138" s="266"/>
      <c r="R138" s="266"/>
      <c r="S138" s="216"/>
      <c r="T138" s="216"/>
      <c r="U138" s="217"/>
      <c r="V138" s="216"/>
      <c r="W138" s="216"/>
      <c r="X138" s="216"/>
      <c r="Y138" s="216"/>
      <c r="Z138" s="216"/>
      <c r="AA138" s="216"/>
      <c r="AB138" s="216"/>
      <c r="AC138" s="216"/>
      <c r="AD138" s="216"/>
      <c r="AE138" s="216"/>
      <c r="AF138" s="216"/>
      <c r="AG138" s="216"/>
      <c r="AH138" s="216"/>
      <c r="AI138" s="216"/>
      <c r="AJ138" s="216"/>
      <c r="AK138" s="216"/>
      <c r="AL138" s="216"/>
      <c r="AM138" s="216"/>
      <c r="AN138" s="216"/>
    </row>
    <row r="139">
      <c r="B139" s="267"/>
      <c r="C139" s="266"/>
      <c r="D139" s="266"/>
      <c r="E139" s="266"/>
      <c r="F139" s="266"/>
      <c r="G139" s="266"/>
      <c r="H139" s="266"/>
      <c r="I139" s="266"/>
      <c r="J139" s="266"/>
      <c r="K139" s="266"/>
      <c r="L139" s="266"/>
      <c r="M139" s="266"/>
      <c r="N139" s="266"/>
      <c r="O139" s="266"/>
      <c r="P139" s="266"/>
      <c r="Q139" s="266"/>
      <c r="R139" s="266"/>
      <c r="S139" s="216"/>
      <c r="T139" s="216"/>
      <c r="U139" s="217"/>
      <c r="V139" s="216"/>
      <c r="W139" s="216"/>
      <c r="X139" s="216"/>
      <c r="Y139" s="216"/>
      <c r="Z139" s="216"/>
      <c r="AA139" s="216"/>
      <c r="AB139" s="216"/>
      <c r="AC139" s="216"/>
      <c r="AD139" s="216"/>
      <c r="AE139" s="216"/>
      <c r="AF139" s="216"/>
      <c r="AG139" s="216"/>
      <c r="AH139" s="216"/>
      <c r="AI139" s="216"/>
      <c r="AJ139" s="216"/>
      <c r="AK139" s="216"/>
      <c r="AL139" s="216"/>
      <c r="AM139" s="216"/>
      <c r="AN139" s="216"/>
    </row>
    <row r="140">
      <c r="B140" s="267"/>
      <c r="C140" s="266"/>
      <c r="D140" s="266"/>
      <c r="E140" s="266"/>
      <c r="F140" s="266"/>
      <c r="G140" s="266"/>
      <c r="H140" s="266"/>
      <c r="I140" s="266"/>
      <c r="J140" s="266"/>
      <c r="K140" s="266"/>
      <c r="L140" s="266"/>
      <c r="M140" s="266"/>
      <c r="N140" s="266"/>
      <c r="O140" s="266"/>
      <c r="P140" s="266"/>
      <c r="Q140" s="266"/>
      <c r="R140" s="266"/>
      <c r="S140" s="216"/>
      <c r="T140" s="216"/>
      <c r="U140" s="217"/>
      <c r="V140" s="216"/>
      <c r="W140" s="216"/>
      <c r="X140" s="216"/>
      <c r="Y140" s="216"/>
      <c r="Z140" s="216"/>
      <c r="AA140" s="216"/>
      <c r="AB140" s="216"/>
      <c r="AC140" s="216"/>
      <c r="AD140" s="216"/>
      <c r="AE140" s="216"/>
      <c r="AF140" s="216"/>
      <c r="AG140" s="216"/>
      <c r="AH140" s="216"/>
      <c r="AI140" s="216"/>
      <c r="AJ140" s="216"/>
      <c r="AK140" s="216"/>
      <c r="AL140" s="216"/>
      <c r="AM140" s="216"/>
      <c r="AN140" s="216"/>
    </row>
    <row r="141">
      <c r="B141" s="267"/>
      <c r="C141" s="266"/>
      <c r="D141" s="266"/>
      <c r="E141" s="266"/>
      <c r="F141" s="266"/>
      <c r="G141" s="266"/>
      <c r="H141" s="266"/>
      <c r="I141" s="266"/>
      <c r="J141" s="266"/>
      <c r="K141" s="266"/>
      <c r="L141" s="266"/>
      <c r="M141" s="266"/>
      <c r="N141" s="266"/>
      <c r="O141" s="266"/>
      <c r="P141" s="266"/>
      <c r="Q141" s="266"/>
      <c r="R141" s="266"/>
      <c r="S141" s="216"/>
      <c r="T141" s="216"/>
      <c r="U141" s="217"/>
      <c r="V141" s="216"/>
      <c r="W141" s="216"/>
      <c r="X141" s="216"/>
      <c r="Y141" s="216"/>
      <c r="Z141" s="216"/>
      <c r="AA141" s="216"/>
      <c r="AB141" s="216"/>
      <c r="AC141" s="216"/>
      <c r="AD141" s="216"/>
      <c r="AE141" s="216"/>
      <c r="AF141" s="216"/>
      <c r="AG141" s="216"/>
      <c r="AH141" s="216"/>
      <c r="AI141" s="216"/>
      <c r="AJ141" s="216"/>
      <c r="AK141" s="216"/>
      <c r="AL141" s="216"/>
      <c r="AM141" s="216"/>
      <c r="AN141" s="216"/>
    </row>
    <row r="142">
      <c r="B142" s="267"/>
      <c r="C142" s="266"/>
      <c r="D142" s="266"/>
      <c r="E142" s="266"/>
      <c r="F142" s="266"/>
      <c r="G142" s="266"/>
      <c r="H142" s="266"/>
      <c r="I142" s="266"/>
      <c r="J142" s="266"/>
      <c r="K142" s="266"/>
      <c r="L142" s="266"/>
      <c r="M142" s="266"/>
      <c r="N142" s="266"/>
      <c r="O142" s="266"/>
      <c r="P142" s="266"/>
      <c r="Q142" s="266"/>
      <c r="R142" s="266"/>
      <c r="S142" s="216"/>
      <c r="T142" s="216"/>
      <c r="U142" s="217"/>
      <c r="V142" s="216"/>
      <c r="W142" s="216"/>
      <c r="X142" s="216"/>
      <c r="Y142" s="216"/>
      <c r="Z142" s="216"/>
      <c r="AA142" s="216"/>
      <c r="AB142" s="216"/>
      <c r="AC142" s="216"/>
      <c r="AD142" s="216"/>
      <c r="AE142" s="216"/>
      <c r="AF142" s="216"/>
      <c r="AG142" s="216"/>
      <c r="AH142" s="216"/>
      <c r="AI142" s="216"/>
      <c r="AJ142" s="216"/>
      <c r="AK142" s="216"/>
      <c r="AL142" s="216"/>
      <c r="AM142" s="216"/>
      <c r="AN142" s="216"/>
    </row>
    <row r="143">
      <c r="B143" s="267"/>
      <c r="C143" s="266"/>
      <c r="D143" s="266"/>
      <c r="E143" s="266"/>
      <c r="F143" s="266"/>
      <c r="G143" s="266"/>
      <c r="H143" s="266"/>
      <c r="I143" s="266"/>
      <c r="J143" s="266"/>
      <c r="K143" s="266"/>
      <c r="L143" s="266"/>
      <c r="M143" s="266"/>
      <c r="N143" s="266"/>
      <c r="O143" s="266"/>
      <c r="P143" s="266"/>
      <c r="Q143" s="266"/>
      <c r="R143" s="266"/>
      <c r="S143" s="216"/>
      <c r="T143" s="216"/>
      <c r="U143" s="217"/>
      <c r="V143" s="216"/>
      <c r="W143" s="216"/>
      <c r="X143" s="216"/>
      <c r="Y143" s="216"/>
      <c r="Z143" s="216"/>
      <c r="AA143" s="216"/>
      <c r="AB143" s="216"/>
      <c r="AC143" s="216"/>
      <c r="AD143" s="216"/>
      <c r="AE143" s="216"/>
      <c r="AF143" s="216"/>
      <c r="AG143" s="216"/>
      <c r="AH143" s="216"/>
      <c r="AI143" s="216"/>
      <c r="AJ143" s="216"/>
      <c r="AK143" s="216"/>
      <c r="AL143" s="216"/>
      <c r="AM143" s="216"/>
      <c r="AN143" s="216"/>
    </row>
    <row r="144">
      <c r="B144" s="267"/>
      <c r="C144" s="266"/>
      <c r="D144" s="266"/>
      <c r="E144" s="266"/>
      <c r="F144" s="266"/>
      <c r="G144" s="266"/>
      <c r="H144" s="266"/>
      <c r="I144" s="266"/>
      <c r="J144" s="266"/>
      <c r="K144" s="266"/>
      <c r="L144" s="266"/>
      <c r="M144" s="266"/>
      <c r="N144" s="266"/>
      <c r="O144" s="266"/>
      <c r="P144" s="266"/>
      <c r="Q144" s="266"/>
      <c r="R144" s="266"/>
      <c r="S144" s="216"/>
      <c r="T144" s="216"/>
      <c r="U144" s="217"/>
      <c r="V144" s="216"/>
      <c r="W144" s="216"/>
      <c r="X144" s="216"/>
      <c r="Y144" s="216"/>
      <c r="Z144" s="216"/>
      <c r="AA144" s="216"/>
      <c r="AB144" s="216"/>
      <c r="AC144" s="216"/>
      <c r="AD144" s="216"/>
      <c r="AE144" s="216"/>
      <c r="AF144" s="216"/>
      <c r="AG144" s="216"/>
      <c r="AH144" s="216"/>
      <c r="AI144" s="216"/>
      <c r="AJ144" s="216"/>
      <c r="AK144" s="216"/>
      <c r="AL144" s="216"/>
      <c r="AM144" s="216"/>
      <c r="AN144" s="216"/>
    </row>
    <row r="145">
      <c r="B145" s="267"/>
      <c r="C145" s="266"/>
      <c r="D145" s="266"/>
      <c r="E145" s="266"/>
      <c r="F145" s="266"/>
      <c r="G145" s="266"/>
      <c r="H145" s="266"/>
      <c r="I145" s="266"/>
      <c r="J145" s="266"/>
      <c r="K145" s="266"/>
      <c r="L145" s="266"/>
      <c r="M145" s="266"/>
      <c r="N145" s="266"/>
      <c r="O145" s="266"/>
      <c r="P145" s="266"/>
      <c r="Q145" s="266"/>
      <c r="R145" s="266"/>
      <c r="S145" s="216"/>
      <c r="T145" s="216"/>
      <c r="U145" s="217"/>
      <c r="V145" s="216"/>
      <c r="W145" s="216"/>
      <c r="X145" s="216"/>
      <c r="Y145" s="216"/>
      <c r="Z145" s="216"/>
      <c r="AA145" s="216"/>
      <c r="AB145" s="216"/>
      <c r="AC145" s="216"/>
      <c r="AD145" s="216"/>
      <c r="AE145" s="216"/>
      <c r="AF145" s="216"/>
      <c r="AG145" s="216"/>
      <c r="AH145" s="216"/>
      <c r="AI145" s="216"/>
      <c r="AJ145" s="216"/>
      <c r="AK145" s="216"/>
      <c r="AL145" s="216"/>
      <c r="AM145" s="216"/>
      <c r="AN145" s="216"/>
    </row>
    <row r="146">
      <c r="B146" s="267"/>
      <c r="C146" s="266"/>
      <c r="D146" s="266"/>
      <c r="E146" s="266"/>
      <c r="F146" s="266"/>
      <c r="G146" s="266"/>
      <c r="H146" s="266"/>
      <c r="I146" s="266"/>
      <c r="J146" s="266"/>
      <c r="K146" s="266"/>
      <c r="L146" s="266"/>
      <c r="M146" s="266"/>
      <c r="N146" s="266"/>
      <c r="O146" s="266"/>
      <c r="P146" s="266"/>
      <c r="Q146" s="266"/>
      <c r="R146" s="266"/>
      <c r="S146" s="216"/>
      <c r="T146" s="216"/>
      <c r="U146" s="217"/>
      <c r="V146" s="216"/>
      <c r="W146" s="216"/>
      <c r="X146" s="216"/>
      <c r="Y146" s="216"/>
      <c r="Z146" s="216"/>
      <c r="AA146" s="216"/>
      <c r="AB146" s="216"/>
      <c r="AC146" s="216"/>
      <c r="AD146" s="216"/>
      <c r="AE146" s="216"/>
      <c r="AF146" s="216"/>
      <c r="AG146" s="216"/>
      <c r="AH146" s="216"/>
      <c r="AI146" s="216"/>
      <c r="AJ146" s="216"/>
      <c r="AK146" s="216"/>
      <c r="AL146" s="216"/>
      <c r="AM146" s="216"/>
      <c r="AN146" s="216"/>
    </row>
    <row r="147">
      <c r="B147" s="267"/>
      <c r="C147" s="266"/>
      <c r="D147" s="266"/>
      <c r="E147" s="266"/>
      <c r="F147" s="266"/>
      <c r="G147" s="266"/>
      <c r="H147" s="266"/>
      <c r="I147" s="266"/>
      <c r="J147" s="266"/>
      <c r="K147" s="266"/>
      <c r="L147" s="266"/>
      <c r="M147" s="266"/>
      <c r="N147" s="266"/>
      <c r="O147" s="266"/>
      <c r="P147" s="266"/>
      <c r="Q147" s="266"/>
      <c r="R147" s="266"/>
      <c r="S147" s="216"/>
      <c r="T147" s="216"/>
      <c r="U147" s="217"/>
      <c r="V147" s="216"/>
      <c r="W147" s="216"/>
      <c r="X147" s="216"/>
      <c r="Y147" s="216"/>
      <c r="Z147" s="216"/>
      <c r="AA147" s="216"/>
      <c r="AB147" s="216"/>
      <c r="AC147" s="216"/>
      <c r="AD147" s="216"/>
      <c r="AE147" s="216"/>
      <c r="AF147" s="216"/>
      <c r="AG147" s="216"/>
      <c r="AH147" s="216"/>
      <c r="AI147" s="216"/>
      <c r="AJ147" s="216"/>
      <c r="AK147" s="216"/>
      <c r="AL147" s="216"/>
      <c r="AM147" s="216"/>
      <c r="AN147" s="216"/>
    </row>
    <row r="148">
      <c r="B148" s="267"/>
      <c r="C148" s="266"/>
      <c r="D148" s="266"/>
      <c r="E148" s="266"/>
      <c r="F148" s="266"/>
      <c r="G148" s="266"/>
      <c r="H148" s="266"/>
      <c r="I148" s="266"/>
      <c r="J148" s="266"/>
      <c r="K148" s="266"/>
      <c r="L148" s="266"/>
      <c r="M148" s="266"/>
      <c r="N148" s="266"/>
      <c r="O148" s="266"/>
      <c r="P148" s="266"/>
      <c r="Q148" s="266"/>
      <c r="R148" s="266"/>
      <c r="S148" s="216"/>
      <c r="T148" s="216"/>
      <c r="U148" s="217"/>
      <c r="V148" s="216"/>
      <c r="W148" s="216"/>
      <c r="X148" s="216"/>
      <c r="Y148" s="216"/>
      <c r="Z148" s="216"/>
      <c r="AA148" s="216"/>
      <c r="AB148" s="216"/>
      <c r="AC148" s="216"/>
      <c r="AD148" s="216"/>
      <c r="AE148" s="216"/>
      <c r="AF148" s="216"/>
      <c r="AG148" s="216"/>
      <c r="AH148" s="216"/>
      <c r="AI148" s="216"/>
      <c r="AJ148" s="216"/>
      <c r="AK148" s="216"/>
      <c r="AL148" s="216"/>
      <c r="AM148" s="216"/>
      <c r="AN148" s="216"/>
    </row>
    <row r="149">
      <c r="B149" s="267"/>
      <c r="C149" s="266"/>
      <c r="D149" s="266"/>
      <c r="E149" s="266"/>
      <c r="F149" s="266"/>
      <c r="G149" s="266"/>
      <c r="H149" s="266"/>
      <c r="I149" s="266"/>
      <c r="J149" s="266"/>
      <c r="K149" s="266"/>
      <c r="L149" s="266"/>
      <c r="M149" s="266"/>
      <c r="N149" s="266"/>
      <c r="O149" s="266"/>
      <c r="P149" s="266"/>
      <c r="Q149" s="266"/>
      <c r="R149" s="266"/>
      <c r="S149" s="216"/>
      <c r="T149" s="216"/>
      <c r="U149" s="217"/>
      <c r="V149" s="216"/>
      <c r="W149" s="216"/>
      <c r="X149" s="216"/>
      <c r="Y149" s="216"/>
      <c r="Z149" s="216"/>
      <c r="AA149" s="216"/>
      <c r="AB149" s="216"/>
      <c r="AC149" s="216"/>
      <c r="AD149" s="216"/>
      <c r="AE149" s="216"/>
      <c r="AF149" s="216"/>
      <c r="AG149" s="216"/>
      <c r="AH149" s="216"/>
      <c r="AI149" s="216"/>
      <c r="AJ149" s="216"/>
      <c r="AK149" s="216"/>
      <c r="AL149" s="216"/>
      <c r="AM149" s="216"/>
      <c r="AN149" s="216"/>
    </row>
    <row r="150">
      <c r="B150" s="267"/>
      <c r="C150" s="266"/>
      <c r="D150" s="266"/>
      <c r="E150" s="266"/>
      <c r="F150" s="266"/>
      <c r="G150" s="266"/>
      <c r="H150" s="266"/>
      <c r="I150" s="266"/>
      <c r="J150" s="266"/>
      <c r="K150" s="266"/>
      <c r="L150" s="266"/>
      <c r="M150" s="266"/>
      <c r="N150" s="266"/>
      <c r="O150" s="266"/>
      <c r="P150" s="266"/>
      <c r="Q150" s="266"/>
      <c r="R150" s="266"/>
      <c r="S150" s="216"/>
      <c r="T150" s="216"/>
      <c r="U150" s="217"/>
      <c r="V150" s="216"/>
      <c r="W150" s="216"/>
      <c r="X150" s="216"/>
      <c r="Y150" s="216"/>
      <c r="Z150" s="216"/>
      <c r="AA150" s="216"/>
      <c r="AB150" s="216"/>
      <c r="AC150" s="216"/>
      <c r="AD150" s="216"/>
      <c r="AE150" s="216"/>
      <c r="AF150" s="216"/>
      <c r="AG150" s="216"/>
      <c r="AH150" s="216"/>
      <c r="AI150" s="216"/>
      <c r="AJ150" s="216"/>
      <c r="AK150" s="216"/>
      <c r="AL150" s="216"/>
      <c r="AM150" s="216"/>
      <c r="AN150" s="216"/>
    </row>
    <row r="151">
      <c r="B151" s="267"/>
      <c r="C151" s="266"/>
      <c r="D151" s="266"/>
      <c r="E151" s="266"/>
      <c r="F151" s="266"/>
      <c r="G151" s="266"/>
      <c r="H151" s="266"/>
      <c r="I151" s="266"/>
      <c r="J151" s="266"/>
      <c r="K151" s="266"/>
      <c r="L151" s="266"/>
      <c r="M151" s="266"/>
      <c r="N151" s="266"/>
      <c r="O151" s="266"/>
      <c r="P151" s="266"/>
      <c r="Q151" s="266"/>
      <c r="R151" s="266"/>
      <c r="S151" s="216"/>
      <c r="T151" s="216"/>
      <c r="U151" s="217"/>
      <c r="V151" s="216"/>
      <c r="W151" s="216"/>
      <c r="X151" s="216"/>
      <c r="Y151" s="216"/>
      <c r="Z151" s="216"/>
      <c r="AA151" s="216"/>
      <c r="AB151" s="216"/>
      <c r="AC151" s="216"/>
      <c r="AD151" s="216"/>
      <c r="AE151" s="216"/>
      <c r="AF151" s="216"/>
      <c r="AG151" s="216"/>
      <c r="AH151" s="216"/>
      <c r="AI151" s="216"/>
      <c r="AJ151" s="216"/>
      <c r="AK151" s="216"/>
      <c r="AL151" s="216"/>
      <c r="AM151" s="216"/>
      <c r="AN151" s="216"/>
    </row>
    <row r="152">
      <c r="B152" s="267"/>
      <c r="C152" s="266"/>
      <c r="D152" s="266"/>
      <c r="E152" s="266"/>
      <c r="F152" s="266"/>
      <c r="G152" s="266"/>
      <c r="H152" s="266"/>
      <c r="I152" s="266"/>
      <c r="J152" s="266"/>
      <c r="K152" s="266"/>
      <c r="L152" s="266"/>
      <c r="M152" s="266"/>
      <c r="N152" s="266"/>
      <c r="O152" s="266"/>
      <c r="P152" s="266"/>
      <c r="Q152" s="266"/>
      <c r="R152" s="266"/>
      <c r="S152" s="216"/>
      <c r="T152" s="216"/>
      <c r="U152" s="217"/>
      <c r="V152" s="216"/>
      <c r="W152" s="216"/>
      <c r="X152" s="216"/>
      <c r="Y152" s="216"/>
      <c r="Z152" s="216"/>
      <c r="AA152" s="216"/>
      <c r="AB152" s="216"/>
      <c r="AC152" s="216"/>
      <c r="AD152" s="216"/>
      <c r="AE152" s="216"/>
      <c r="AF152" s="216"/>
      <c r="AG152" s="216"/>
      <c r="AH152" s="216"/>
      <c r="AI152" s="216"/>
      <c r="AJ152" s="216"/>
      <c r="AK152" s="216"/>
      <c r="AL152" s="216"/>
      <c r="AM152" s="216"/>
      <c r="AN152" s="216"/>
    </row>
    <row r="153">
      <c r="B153" s="267"/>
      <c r="C153" s="266"/>
      <c r="D153" s="266"/>
      <c r="E153" s="266"/>
      <c r="F153" s="266"/>
      <c r="G153" s="266"/>
      <c r="H153" s="266"/>
      <c r="I153" s="266"/>
      <c r="J153" s="266"/>
      <c r="K153" s="266"/>
      <c r="L153" s="266"/>
      <c r="M153" s="266"/>
      <c r="N153" s="266"/>
      <c r="O153" s="266"/>
      <c r="P153" s="266"/>
      <c r="Q153" s="266"/>
      <c r="R153" s="266"/>
      <c r="S153" s="216"/>
      <c r="T153" s="216"/>
      <c r="U153" s="217"/>
      <c r="V153" s="216"/>
      <c r="W153" s="216"/>
      <c r="X153" s="216"/>
      <c r="Y153" s="216"/>
      <c r="Z153" s="216"/>
      <c r="AA153" s="216"/>
      <c r="AB153" s="216"/>
      <c r="AC153" s="216"/>
      <c r="AD153" s="216"/>
      <c r="AE153" s="216"/>
      <c r="AF153" s="216"/>
      <c r="AG153" s="216"/>
      <c r="AH153" s="216"/>
      <c r="AI153" s="216"/>
      <c r="AJ153" s="216"/>
      <c r="AK153" s="216"/>
      <c r="AL153" s="216"/>
      <c r="AM153" s="216"/>
      <c r="AN153" s="216"/>
    </row>
    <row r="154">
      <c r="B154" s="267"/>
      <c r="C154" s="266"/>
      <c r="D154" s="266"/>
      <c r="E154" s="266"/>
      <c r="F154" s="266"/>
      <c r="G154" s="266"/>
      <c r="H154" s="266"/>
      <c r="I154" s="266"/>
      <c r="J154" s="266"/>
      <c r="K154" s="266"/>
      <c r="L154" s="266"/>
      <c r="M154" s="266"/>
      <c r="N154" s="266"/>
      <c r="O154" s="266"/>
      <c r="P154" s="266"/>
      <c r="Q154" s="266"/>
      <c r="R154" s="266"/>
      <c r="S154" s="216"/>
      <c r="T154" s="216"/>
      <c r="U154" s="217"/>
      <c r="V154" s="216"/>
      <c r="W154" s="216"/>
      <c r="X154" s="216"/>
      <c r="Y154" s="216"/>
      <c r="Z154" s="216"/>
      <c r="AA154" s="216"/>
      <c r="AB154" s="216"/>
      <c r="AC154" s="216"/>
      <c r="AD154" s="216"/>
      <c r="AE154" s="216"/>
      <c r="AF154" s="216"/>
      <c r="AG154" s="216"/>
      <c r="AH154" s="216"/>
      <c r="AI154" s="216"/>
      <c r="AJ154" s="216"/>
      <c r="AK154" s="216"/>
      <c r="AL154" s="216"/>
      <c r="AM154" s="216"/>
      <c r="AN154" s="216"/>
    </row>
    <row r="155">
      <c r="B155" s="267"/>
      <c r="C155" s="266"/>
      <c r="D155" s="266"/>
      <c r="E155" s="266"/>
      <c r="F155" s="266"/>
      <c r="G155" s="266"/>
      <c r="H155" s="266"/>
      <c r="I155" s="266"/>
      <c r="J155" s="266"/>
      <c r="K155" s="266"/>
      <c r="L155" s="266"/>
      <c r="M155" s="266"/>
      <c r="N155" s="266"/>
      <c r="O155" s="266"/>
      <c r="P155" s="266"/>
      <c r="Q155" s="266"/>
      <c r="R155" s="266"/>
      <c r="S155" s="216"/>
      <c r="T155" s="216"/>
      <c r="U155" s="217"/>
      <c r="V155" s="216"/>
      <c r="W155" s="216"/>
      <c r="X155" s="216"/>
      <c r="Y155" s="216"/>
      <c r="Z155" s="216"/>
      <c r="AA155" s="216"/>
      <c r="AB155" s="216"/>
      <c r="AC155" s="216"/>
      <c r="AD155" s="216"/>
      <c r="AE155" s="216"/>
      <c r="AF155" s="216"/>
      <c r="AG155" s="216"/>
      <c r="AH155" s="216"/>
      <c r="AI155" s="216"/>
      <c r="AJ155" s="216"/>
      <c r="AK155" s="216"/>
      <c r="AL155" s="216"/>
      <c r="AM155" s="216"/>
      <c r="AN155" s="216"/>
    </row>
    <row r="156">
      <c r="B156" s="267"/>
      <c r="C156" s="266"/>
      <c r="D156" s="266"/>
      <c r="E156" s="266"/>
      <c r="F156" s="266"/>
      <c r="G156" s="266"/>
      <c r="H156" s="266"/>
      <c r="I156" s="266"/>
      <c r="J156" s="266"/>
      <c r="K156" s="266"/>
      <c r="L156" s="266"/>
      <c r="M156" s="266"/>
      <c r="N156" s="266"/>
      <c r="O156" s="266"/>
      <c r="P156" s="266"/>
      <c r="Q156" s="266"/>
      <c r="R156" s="266"/>
      <c r="S156" s="216"/>
      <c r="T156" s="216"/>
      <c r="U156" s="217"/>
      <c r="V156" s="216"/>
      <c r="W156" s="216"/>
      <c r="X156" s="216"/>
      <c r="Y156" s="216"/>
      <c r="Z156" s="216"/>
      <c r="AA156" s="216"/>
      <c r="AB156" s="216"/>
      <c r="AC156" s="216"/>
      <c r="AD156" s="216"/>
      <c r="AE156" s="216"/>
      <c r="AF156" s="216"/>
      <c r="AG156" s="216"/>
      <c r="AH156" s="216"/>
      <c r="AI156" s="216"/>
      <c r="AJ156" s="216"/>
      <c r="AK156" s="216"/>
      <c r="AL156" s="216"/>
      <c r="AM156" s="216"/>
      <c r="AN156" s="216"/>
    </row>
    <row r="157">
      <c r="B157" s="267"/>
      <c r="C157" s="266"/>
      <c r="D157" s="266"/>
      <c r="E157" s="266"/>
      <c r="F157" s="266"/>
      <c r="G157" s="266"/>
      <c r="H157" s="266"/>
      <c r="I157" s="266"/>
      <c r="J157" s="266"/>
      <c r="K157" s="266"/>
      <c r="L157" s="266"/>
      <c r="M157" s="266"/>
      <c r="N157" s="266"/>
      <c r="O157" s="266"/>
      <c r="P157" s="266"/>
      <c r="Q157" s="266"/>
      <c r="R157" s="266"/>
      <c r="S157" s="216"/>
      <c r="T157" s="216"/>
      <c r="U157" s="217"/>
      <c r="V157" s="216"/>
      <c r="W157" s="216"/>
      <c r="X157" s="216"/>
      <c r="Y157" s="216"/>
      <c r="Z157" s="216"/>
      <c r="AA157" s="216"/>
      <c r="AB157" s="216"/>
      <c r="AC157" s="216"/>
      <c r="AD157" s="216"/>
      <c r="AE157" s="216"/>
      <c r="AF157" s="216"/>
      <c r="AG157" s="216"/>
      <c r="AH157" s="216"/>
      <c r="AI157" s="216"/>
      <c r="AJ157" s="216"/>
      <c r="AK157" s="216"/>
      <c r="AL157" s="216"/>
      <c r="AM157" s="216"/>
      <c r="AN157" s="216"/>
    </row>
    <row r="158">
      <c r="B158" s="267"/>
      <c r="C158" s="266"/>
      <c r="D158" s="266"/>
      <c r="E158" s="266"/>
      <c r="F158" s="266"/>
      <c r="G158" s="266"/>
      <c r="H158" s="266"/>
      <c r="I158" s="266"/>
      <c r="J158" s="266"/>
      <c r="K158" s="266"/>
      <c r="L158" s="266"/>
      <c r="M158" s="266"/>
      <c r="N158" s="266"/>
      <c r="O158" s="266"/>
      <c r="P158" s="266"/>
      <c r="Q158" s="266"/>
      <c r="R158" s="266"/>
      <c r="S158" s="216"/>
      <c r="T158" s="216"/>
      <c r="U158" s="217"/>
      <c r="V158" s="216"/>
      <c r="W158" s="216"/>
      <c r="X158" s="216"/>
      <c r="Y158" s="216"/>
      <c r="Z158" s="216"/>
      <c r="AA158" s="216"/>
      <c r="AB158" s="216"/>
      <c r="AC158" s="216"/>
      <c r="AD158" s="216"/>
      <c r="AE158" s="216"/>
      <c r="AF158" s="216"/>
      <c r="AG158" s="216"/>
      <c r="AH158" s="216"/>
      <c r="AI158" s="216"/>
      <c r="AJ158" s="216"/>
      <c r="AK158" s="216"/>
      <c r="AL158" s="216"/>
      <c r="AM158" s="216"/>
      <c r="AN158" s="216"/>
    </row>
    <row r="159">
      <c r="B159" s="267"/>
      <c r="C159" s="266"/>
      <c r="D159" s="266"/>
      <c r="E159" s="266"/>
      <c r="F159" s="266"/>
      <c r="G159" s="266"/>
      <c r="H159" s="266"/>
      <c r="I159" s="266"/>
      <c r="J159" s="266"/>
      <c r="K159" s="266"/>
      <c r="L159" s="266"/>
      <c r="M159" s="266"/>
      <c r="N159" s="266"/>
      <c r="O159" s="266"/>
      <c r="P159" s="266"/>
      <c r="Q159" s="266"/>
      <c r="R159" s="266"/>
      <c r="S159" s="216"/>
      <c r="T159" s="216"/>
      <c r="U159" s="217"/>
      <c r="V159" s="216"/>
      <c r="W159" s="216"/>
      <c r="X159" s="216"/>
      <c r="Y159" s="216"/>
      <c r="Z159" s="216"/>
      <c r="AA159" s="216"/>
      <c r="AB159" s="216"/>
      <c r="AC159" s="216"/>
      <c r="AD159" s="216"/>
      <c r="AE159" s="216"/>
      <c r="AF159" s="216"/>
      <c r="AG159" s="216"/>
      <c r="AH159" s="216"/>
      <c r="AI159" s="216"/>
      <c r="AJ159" s="216"/>
      <c r="AK159" s="216"/>
      <c r="AL159" s="216"/>
      <c r="AM159" s="216"/>
      <c r="AN159" s="216"/>
    </row>
    <row r="160">
      <c r="B160" s="267"/>
      <c r="C160" s="266"/>
      <c r="D160" s="266"/>
      <c r="E160" s="266"/>
      <c r="F160" s="266"/>
      <c r="G160" s="266"/>
      <c r="H160" s="266"/>
      <c r="I160" s="266"/>
      <c r="J160" s="266"/>
      <c r="K160" s="266"/>
      <c r="L160" s="266"/>
      <c r="M160" s="266"/>
      <c r="N160" s="266"/>
      <c r="O160" s="266"/>
      <c r="P160" s="266"/>
      <c r="Q160" s="266"/>
      <c r="R160" s="266"/>
      <c r="S160" s="216"/>
      <c r="T160" s="216"/>
      <c r="U160" s="217"/>
      <c r="V160" s="216"/>
      <c r="W160" s="216"/>
      <c r="X160" s="216"/>
      <c r="Y160" s="216"/>
      <c r="Z160" s="216"/>
      <c r="AA160" s="216"/>
      <c r="AB160" s="216"/>
      <c r="AC160" s="216"/>
      <c r="AD160" s="216"/>
      <c r="AE160" s="216"/>
      <c r="AF160" s="216"/>
      <c r="AG160" s="216"/>
      <c r="AH160" s="216"/>
      <c r="AI160" s="216"/>
      <c r="AJ160" s="216"/>
      <c r="AK160" s="216"/>
      <c r="AL160" s="216"/>
      <c r="AM160" s="216"/>
      <c r="AN160" s="216"/>
    </row>
    <row r="161">
      <c r="B161" s="267"/>
      <c r="C161" s="266"/>
      <c r="D161" s="266"/>
      <c r="E161" s="266"/>
      <c r="F161" s="266"/>
      <c r="G161" s="266"/>
      <c r="H161" s="266"/>
      <c r="I161" s="266"/>
      <c r="J161" s="266"/>
      <c r="K161" s="266"/>
      <c r="L161" s="266"/>
      <c r="M161" s="266"/>
      <c r="N161" s="266"/>
      <c r="O161" s="266"/>
      <c r="P161" s="266"/>
      <c r="Q161" s="266"/>
      <c r="R161" s="266"/>
      <c r="S161" s="216"/>
      <c r="T161" s="216"/>
      <c r="U161" s="217"/>
      <c r="V161" s="216"/>
      <c r="W161" s="216"/>
      <c r="X161" s="216"/>
      <c r="Y161" s="216"/>
      <c r="Z161" s="216"/>
      <c r="AA161" s="216"/>
      <c r="AB161" s="216"/>
      <c r="AC161" s="216"/>
      <c r="AD161" s="216"/>
      <c r="AE161" s="216"/>
      <c r="AF161" s="216"/>
      <c r="AG161" s="216"/>
      <c r="AH161" s="216"/>
      <c r="AI161" s="216"/>
      <c r="AJ161" s="216"/>
      <c r="AK161" s="216"/>
      <c r="AL161" s="216"/>
      <c r="AM161" s="216"/>
      <c r="AN161" s="216"/>
    </row>
    <row r="162">
      <c r="B162" s="267"/>
      <c r="C162" s="266"/>
      <c r="D162" s="266"/>
      <c r="E162" s="266"/>
      <c r="F162" s="266"/>
      <c r="G162" s="266"/>
      <c r="H162" s="266"/>
      <c r="I162" s="266"/>
      <c r="J162" s="266"/>
      <c r="K162" s="266"/>
      <c r="L162" s="266"/>
      <c r="M162" s="266"/>
      <c r="N162" s="266"/>
      <c r="O162" s="266"/>
      <c r="P162" s="266"/>
      <c r="Q162" s="266"/>
      <c r="R162" s="266"/>
      <c r="S162" s="216"/>
      <c r="T162" s="216"/>
      <c r="U162" s="217"/>
      <c r="V162" s="216"/>
      <c r="W162" s="216"/>
      <c r="X162" s="216"/>
      <c r="Y162" s="216"/>
      <c r="Z162" s="216"/>
      <c r="AA162" s="216"/>
      <c r="AB162" s="216"/>
      <c r="AC162" s="216"/>
      <c r="AD162" s="216"/>
      <c r="AE162" s="216"/>
      <c r="AF162" s="216"/>
      <c r="AG162" s="216"/>
      <c r="AH162" s="216"/>
      <c r="AI162" s="216"/>
      <c r="AJ162" s="216"/>
      <c r="AK162" s="216"/>
      <c r="AL162" s="216"/>
      <c r="AM162" s="216"/>
      <c r="AN162" s="216"/>
    </row>
    <row r="163">
      <c r="B163" s="267"/>
      <c r="C163" s="266"/>
      <c r="D163" s="266"/>
      <c r="E163" s="266"/>
      <c r="F163" s="266"/>
      <c r="G163" s="266"/>
      <c r="H163" s="266"/>
      <c r="I163" s="266"/>
      <c r="J163" s="266"/>
      <c r="K163" s="266"/>
      <c r="L163" s="266"/>
      <c r="M163" s="266"/>
      <c r="N163" s="266"/>
      <c r="O163" s="266"/>
      <c r="P163" s="266"/>
      <c r="Q163" s="266"/>
      <c r="R163" s="266"/>
      <c r="S163" s="216"/>
      <c r="T163" s="216"/>
      <c r="U163" s="217"/>
      <c r="V163" s="216"/>
      <c r="W163" s="216"/>
      <c r="X163" s="216"/>
      <c r="Y163" s="216"/>
      <c r="Z163" s="216"/>
      <c r="AA163" s="216"/>
      <c r="AB163" s="216"/>
      <c r="AC163" s="216"/>
      <c r="AD163" s="216"/>
      <c r="AE163" s="216"/>
      <c r="AF163" s="216"/>
      <c r="AG163" s="216"/>
      <c r="AH163" s="216"/>
      <c r="AI163" s="216"/>
      <c r="AJ163" s="216"/>
      <c r="AK163" s="216"/>
      <c r="AL163" s="216"/>
      <c r="AM163" s="216"/>
      <c r="AN163" s="216"/>
    </row>
    <row r="164">
      <c r="B164" s="267"/>
      <c r="C164" s="266"/>
      <c r="D164" s="266"/>
      <c r="E164" s="266"/>
      <c r="F164" s="266"/>
      <c r="G164" s="266"/>
      <c r="H164" s="266"/>
      <c r="I164" s="266"/>
      <c r="J164" s="266"/>
      <c r="K164" s="266"/>
      <c r="L164" s="266"/>
      <c r="M164" s="266"/>
      <c r="N164" s="266"/>
      <c r="O164" s="266"/>
      <c r="P164" s="266"/>
      <c r="Q164" s="266"/>
      <c r="R164" s="266"/>
      <c r="S164" s="216"/>
      <c r="T164" s="216"/>
      <c r="U164" s="217"/>
      <c r="V164" s="216"/>
      <c r="W164" s="216"/>
      <c r="X164" s="216"/>
      <c r="Y164" s="216"/>
      <c r="Z164" s="216"/>
      <c r="AA164" s="216"/>
      <c r="AB164" s="216"/>
      <c r="AC164" s="216"/>
      <c r="AD164" s="216"/>
      <c r="AE164" s="216"/>
      <c r="AF164" s="216"/>
      <c r="AG164" s="216"/>
      <c r="AH164" s="216"/>
      <c r="AI164" s="216"/>
      <c r="AJ164" s="216"/>
      <c r="AK164" s="216"/>
      <c r="AL164" s="216"/>
      <c r="AM164" s="216"/>
      <c r="AN164" s="216"/>
    </row>
    <row r="165">
      <c r="B165" s="267"/>
      <c r="C165" s="266"/>
      <c r="D165" s="266"/>
      <c r="E165" s="266"/>
      <c r="F165" s="266"/>
      <c r="G165" s="266"/>
      <c r="H165" s="266"/>
      <c r="I165" s="266"/>
      <c r="J165" s="266"/>
      <c r="K165" s="266"/>
      <c r="L165" s="266"/>
      <c r="M165" s="266"/>
      <c r="N165" s="266"/>
      <c r="O165" s="266"/>
      <c r="P165" s="266"/>
      <c r="Q165" s="266"/>
      <c r="R165" s="266"/>
      <c r="S165" s="216"/>
      <c r="T165" s="216"/>
      <c r="U165" s="217"/>
      <c r="V165" s="216"/>
      <c r="W165" s="216"/>
      <c r="X165" s="216"/>
      <c r="Y165" s="216"/>
      <c r="Z165" s="216"/>
      <c r="AA165" s="216"/>
      <c r="AB165" s="216"/>
      <c r="AC165" s="216"/>
      <c r="AD165" s="216"/>
      <c r="AE165" s="216"/>
      <c r="AF165" s="216"/>
      <c r="AG165" s="216"/>
      <c r="AH165" s="216"/>
      <c r="AI165" s="216"/>
      <c r="AJ165" s="216"/>
      <c r="AK165" s="216"/>
      <c r="AL165" s="216"/>
      <c r="AM165" s="216"/>
      <c r="AN165" s="216"/>
    </row>
    <row r="166">
      <c r="B166" s="267"/>
      <c r="C166" s="266"/>
      <c r="D166" s="266"/>
      <c r="E166" s="266"/>
      <c r="F166" s="266"/>
      <c r="G166" s="266"/>
      <c r="H166" s="266"/>
      <c r="I166" s="266"/>
      <c r="J166" s="266"/>
      <c r="K166" s="266"/>
      <c r="L166" s="266"/>
      <c r="M166" s="266"/>
      <c r="N166" s="266"/>
      <c r="O166" s="266"/>
      <c r="P166" s="266"/>
      <c r="Q166" s="266"/>
      <c r="R166" s="266"/>
      <c r="S166" s="216"/>
      <c r="T166" s="216"/>
      <c r="U166" s="217"/>
      <c r="V166" s="216"/>
      <c r="W166" s="216"/>
      <c r="X166" s="216"/>
      <c r="Y166" s="216"/>
      <c r="Z166" s="216"/>
      <c r="AA166" s="216"/>
      <c r="AB166" s="216"/>
      <c r="AC166" s="216"/>
      <c r="AD166" s="216"/>
      <c r="AE166" s="216"/>
      <c r="AF166" s="216"/>
      <c r="AG166" s="216"/>
      <c r="AH166" s="216"/>
      <c r="AI166" s="216"/>
      <c r="AJ166" s="216"/>
      <c r="AK166" s="216"/>
      <c r="AL166" s="216"/>
      <c r="AM166" s="216"/>
      <c r="AN166" s="216"/>
    </row>
    <row r="167">
      <c r="B167" s="267"/>
      <c r="C167" s="266"/>
      <c r="D167" s="266"/>
      <c r="E167" s="266"/>
      <c r="F167" s="266"/>
      <c r="G167" s="266"/>
      <c r="H167" s="266"/>
      <c r="I167" s="266"/>
      <c r="J167" s="266"/>
      <c r="K167" s="266"/>
      <c r="L167" s="266"/>
      <c r="M167" s="266"/>
      <c r="N167" s="266"/>
      <c r="O167" s="266"/>
      <c r="P167" s="266"/>
      <c r="Q167" s="266"/>
      <c r="R167" s="266"/>
      <c r="S167" s="216"/>
      <c r="T167" s="216"/>
      <c r="U167" s="217"/>
      <c r="V167" s="216"/>
      <c r="W167" s="216"/>
      <c r="X167" s="216"/>
      <c r="Y167" s="216"/>
      <c r="Z167" s="216"/>
      <c r="AA167" s="216"/>
      <c r="AB167" s="216"/>
      <c r="AC167" s="216"/>
      <c r="AD167" s="216"/>
      <c r="AE167" s="216"/>
      <c r="AF167" s="216"/>
      <c r="AG167" s="216"/>
      <c r="AH167" s="216"/>
      <c r="AI167" s="216"/>
      <c r="AJ167" s="216"/>
      <c r="AK167" s="216"/>
      <c r="AL167" s="216"/>
      <c r="AM167" s="216"/>
      <c r="AN167" s="216"/>
    </row>
    <row r="168">
      <c r="B168" s="267"/>
      <c r="C168" s="266"/>
      <c r="D168" s="266"/>
      <c r="E168" s="266"/>
      <c r="F168" s="266"/>
      <c r="G168" s="266"/>
      <c r="H168" s="266"/>
      <c r="I168" s="266"/>
      <c r="J168" s="266"/>
      <c r="K168" s="266"/>
      <c r="L168" s="266"/>
      <c r="M168" s="266"/>
      <c r="N168" s="266"/>
      <c r="O168" s="266"/>
      <c r="P168" s="266"/>
      <c r="Q168" s="266"/>
      <c r="R168" s="266"/>
      <c r="S168" s="216"/>
      <c r="T168" s="216"/>
      <c r="U168" s="217"/>
      <c r="V168" s="216"/>
      <c r="W168" s="216"/>
      <c r="X168" s="216"/>
      <c r="Y168" s="216"/>
      <c r="Z168" s="216"/>
      <c r="AA168" s="216"/>
      <c r="AB168" s="216"/>
      <c r="AC168" s="216"/>
      <c r="AD168" s="216"/>
      <c r="AE168" s="216"/>
      <c r="AF168" s="216"/>
      <c r="AG168" s="216"/>
      <c r="AH168" s="216"/>
      <c r="AI168" s="216"/>
      <c r="AJ168" s="216"/>
      <c r="AK168" s="216"/>
      <c r="AL168" s="216"/>
      <c r="AM168" s="216"/>
      <c r="AN168" s="216"/>
    </row>
    <row r="169">
      <c r="B169" s="267"/>
      <c r="C169" s="266"/>
      <c r="D169" s="266"/>
      <c r="E169" s="266"/>
      <c r="F169" s="266"/>
      <c r="G169" s="266"/>
      <c r="H169" s="266"/>
      <c r="I169" s="266"/>
      <c r="J169" s="266"/>
      <c r="K169" s="266"/>
      <c r="L169" s="266"/>
      <c r="M169" s="266"/>
      <c r="N169" s="266"/>
      <c r="O169" s="266"/>
      <c r="P169" s="266"/>
      <c r="Q169" s="266"/>
      <c r="R169" s="266"/>
      <c r="S169" s="216"/>
      <c r="T169" s="216"/>
      <c r="U169" s="217"/>
      <c r="V169" s="216"/>
      <c r="W169" s="216"/>
      <c r="X169" s="216"/>
      <c r="Y169" s="216"/>
      <c r="Z169" s="216"/>
      <c r="AA169" s="216"/>
      <c r="AB169" s="216"/>
      <c r="AC169" s="216"/>
      <c r="AD169" s="216"/>
      <c r="AE169" s="216"/>
      <c r="AF169" s="216"/>
      <c r="AG169" s="216"/>
      <c r="AH169" s="216"/>
      <c r="AI169" s="216"/>
      <c r="AJ169" s="216"/>
      <c r="AK169" s="216"/>
      <c r="AL169" s="216"/>
      <c r="AM169" s="216"/>
      <c r="AN169" s="216"/>
    </row>
    <row r="170">
      <c r="B170" s="267"/>
      <c r="C170" s="266"/>
      <c r="D170" s="266"/>
      <c r="E170" s="266"/>
      <c r="F170" s="266"/>
      <c r="G170" s="266"/>
      <c r="H170" s="266"/>
      <c r="I170" s="266"/>
      <c r="J170" s="266"/>
      <c r="K170" s="266"/>
      <c r="L170" s="266"/>
      <c r="M170" s="266"/>
      <c r="N170" s="266"/>
      <c r="O170" s="266"/>
      <c r="P170" s="266"/>
      <c r="Q170" s="266"/>
      <c r="R170" s="266"/>
      <c r="S170" s="216"/>
      <c r="T170" s="216"/>
      <c r="U170" s="217"/>
      <c r="V170" s="216"/>
      <c r="W170" s="216"/>
      <c r="X170" s="216"/>
      <c r="Y170" s="216"/>
      <c r="Z170" s="216"/>
      <c r="AA170" s="216"/>
      <c r="AB170" s="216"/>
      <c r="AC170" s="216"/>
      <c r="AD170" s="216"/>
      <c r="AE170" s="216"/>
      <c r="AF170" s="216"/>
      <c r="AG170" s="216"/>
      <c r="AH170" s="216"/>
      <c r="AI170" s="216"/>
      <c r="AJ170" s="216"/>
      <c r="AK170" s="216"/>
      <c r="AL170" s="216"/>
      <c r="AM170" s="216"/>
      <c r="AN170" s="216"/>
    </row>
    <row r="171">
      <c r="B171" s="267"/>
      <c r="C171" s="266"/>
      <c r="D171" s="266"/>
      <c r="E171" s="266"/>
      <c r="F171" s="266"/>
      <c r="G171" s="266"/>
      <c r="H171" s="266"/>
      <c r="I171" s="266"/>
      <c r="J171" s="266"/>
      <c r="K171" s="266"/>
      <c r="L171" s="266"/>
      <c r="M171" s="266"/>
      <c r="N171" s="266"/>
      <c r="O171" s="266"/>
      <c r="P171" s="266"/>
      <c r="Q171" s="266"/>
      <c r="R171" s="266"/>
      <c r="S171" s="216"/>
      <c r="T171" s="216"/>
      <c r="U171" s="217"/>
      <c r="V171" s="216"/>
      <c r="W171" s="216"/>
      <c r="X171" s="216"/>
      <c r="Y171" s="216"/>
      <c r="Z171" s="216"/>
      <c r="AA171" s="216"/>
      <c r="AB171" s="216"/>
      <c r="AC171" s="216"/>
      <c r="AD171" s="216"/>
      <c r="AE171" s="216"/>
      <c r="AF171" s="216"/>
      <c r="AG171" s="216"/>
      <c r="AH171" s="216"/>
      <c r="AI171" s="216"/>
      <c r="AJ171" s="216"/>
      <c r="AK171" s="216"/>
      <c r="AL171" s="216"/>
      <c r="AM171" s="216"/>
      <c r="AN171" s="216"/>
    </row>
    <row r="172">
      <c r="B172" s="267"/>
      <c r="C172" s="266"/>
      <c r="D172" s="266"/>
      <c r="E172" s="266"/>
      <c r="F172" s="266"/>
      <c r="G172" s="266"/>
      <c r="H172" s="266"/>
      <c r="I172" s="266"/>
      <c r="J172" s="266"/>
      <c r="K172" s="266"/>
      <c r="L172" s="266"/>
      <c r="M172" s="266"/>
      <c r="N172" s="266"/>
      <c r="O172" s="266"/>
      <c r="P172" s="266"/>
      <c r="Q172" s="266"/>
      <c r="R172" s="266"/>
      <c r="S172" s="216"/>
      <c r="T172" s="216"/>
      <c r="U172" s="217"/>
      <c r="V172" s="216"/>
      <c r="W172" s="216"/>
      <c r="X172" s="216"/>
      <c r="Y172" s="216"/>
      <c r="Z172" s="216"/>
      <c r="AA172" s="216"/>
      <c r="AB172" s="216"/>
      <c r="AC172" s="216"/>
      <c r="AD172" s="216"/>
      <c r="AE172" s="216"/>
      <c r="AF172" s="216"/>
      <c r="AG172" s="216"/>
      <c r="AH172" s="216"/>
      <c r="AI172" s="216"/>
      <c r="AJ172" s="216"/>
      <c r="AK172" s="216"/>
      <c r="AL172" s="216"/>
      <c r="AM172" s="216"/>
      <c r="AN172" s="216"/>
    </row>
    <row r="173">
      <c r="B173" s="267"/>
      <c r="C173" s="266"/>
      <c r="D173" s="266"/>
      <c r="E173" s="266"/>
      <c r="F173" s="266"/>
      <c r="G173" s="266"/>
      <c r="H173" s="266"/>
      <c r="I173" s="266"/>
      <c r="J173" s="266"/>
      <c r="K173" s="266"/>
      <c r="L173" s="266"/>
      <c r="M173" s="266"/>
      <c r="N173" s="266"/>
      <c r="O173" s="266"/>
      <c r="P173" s="266"/>
      <c r="Q173" s="266"/>
      <c r="R173" s="266"/>
      <c r="S173" s="216"/>
      <c r="T173" s="216"/>
      <c r="U173" s="217"/>
      <c r="V173" s="216"/>
      <c r="W173" s="216"/>
      <c r="X173" s="216"/>
      <c r="Y173" s="216"/>
      <c r="Z173" s="216"/>
      <c r="AA173" s="216"/>
      <c r="AB173" s="216"/>
      <c r="AC173" s="216"/>
      <c r="AD173" s="216"/>
      <c r="AE173" s="216"/>
      <c r="AF173" s="216"/>
      <c r="AG173" s="216"/>
      <c r="AH173" s="216"/>
      <c r="AI173" s="216"/>
      <c r="AJ173" s="216"/>
      <c r="AK173" s="216"/>
      <c r="AL173" s="216"/>
      <c r="AM173" s="216"/>
      <c r="AN173" s="216"/>
    </row>
    <row r="174">
      <c r="B174" s="267"/>
      <c r="C174" s="266"/>
      <c r="D174" s="266"/>
      <c r="E174" s="266"/>
      <c r="F174" s="266"/>
      <c r="G174" s="266"/>
      <c r="H174" s="266"/>
      <c r="I174" s="266"/>
      <c r="J174" s="266"/>
      <c r="K174" s="266"/>
      <c r="L174" s="266"/>
      <c r="M174" s="266"/>
      <c r="N174" s="266"/>
      <c r="O174" s="266"/>
      <c r="P174" s="266"/>
      <c r="Q174" s="266"/>
      <c r="R174" s="266"/>
      <c r="S174" s="216"/>
      <c r="T174" s="216"/>
      <c r="U174" s="217"/>
      <c r="V174" s="216"/>
      <c r="W174" s="216"/>
      <c r="X174" s="216"/>
      <c r="Y174" s="216"/>
      <c r="Z174" s="216"/>
      <c r="AA174" s="216"/>
      <c r="AB174" s="216"/>
      <c r="AC174" s="216"/>
      <c r="AD174" s="216"/>
      <c r="AE174" s="216"/>
      <c r="AF174" s="216"/>
      <c r="AG174" s="216"/>
      <c r="AH174" s="216"/>
      <c r="AI174" s="216"/>
      <c r="AJ174" s="216"/>
      <c r="AK174" s="216"/>
      <c r="AL174" s="216"/>
      <c r="AM174" s="216"/>
      <c r="AN174" s="216"/>
    </row>
    <row r="175">
      <c r="B175" s="267"/>
      <c r="C175" s="266"/>
      <c r="D175" s="266"/>
      <c r="E175" s="266"/>
      <c r="F175" s="266"/>
      <c r="G175" s="266"/>
      <c r="H175" s="266"/>
      <c r="I175" s="266"/>
      <c r="J175" s="266"/>
      <c r="K175" s="266"/>
      <c r="L175" s="266"/>
      <c r="M175" s="266"/>
      <c r="N175" s="266"/>
      <c r="O175" s="266"/>
      <c r="P175" s="266"/>
      <c r="Q175" s="266"/>
      <c r="R175" s="266"/>
      <c r="S175" s="216"/>
      <c r="T175" s="216"/>
      <c r="U175" s="217"/>
      <c r="V175" s="216"/>
      <c r="W175" s="216"/>
      <c r="X175" s="216"/>
      <c r="Y175" s="216"/>
      <c r="Z175" s="216"/>
      <c r="AA175" s="216"/>
      <c r="AB175" s="216"/>
      <c r="AC175" s="216"/>
      <c r="AD175" s="216"/>
      <c r="AE175" s="216"/>
      <c r="AF175" s="216"/>
      <c r="AG175" s="216"/>
      <c r="AH175" s="216"/>
      <c r="AI175" s="216"/>
      <c r="AJ175" s="216"/>
      <c r="AK175" s="216"/>
      <c r="AL175" s="216"/>
      <c r="AM175" s="216"/>
      <c r="AN175" s="216"/>
    </row>
    <row r="176">
      <c r="B176" s="267"/>
      <c r="C176" s="266"/>
      <c r="D176" s="266"/>
      <c r="E176" s="266"/>
      <c r="F176" s="266"/>
      <c r="G176" s="266"/>
      <c r="H176" s="266"/>
      <c r="I176" s="266"/>
      <c r="J176" s="266"/>
      <c r="K176" s="266"/>
      <c r="L176" s="266"/>
      <c r="M176" s="266"/>
      <c r="N176" s="266"/>
      <c r="O176" s="266"/>
      <c r="P176" s="266"/>
      <c r="Q176" s="266"/>
      <c r="R176" s="266"/>
      <c r="S176" s="216"/>
      <c r="T176" s="216"/>
      <c r="U176" s="217"/>
      <c r="V176" s="216"/>
      <c r="W176" s="216"/>
      <c r="X176" s="216"/>
      <c r="Y176" s="216"/>
      <c r="Z176" s="216"/>
      <c r="AA176" s="216"/>
      <c r="AB176" s="216"/>
      <c r="AC176" s="216"/>
      <c r="AD176" s="216"/>
      <c r="AE176" s="216"/>
      <c r="AF176" s="216"/>
      <c r="AG176" s="216"/>
      <c r="AH176" s="216"/>
      <c r="AI176" s="216"/>
      <c r="AJ176" s="216"/>
      <c r="AK176" s="216"/>
      <c r="AL176" s="216"/>
      <c r="AM176" s="216"/>
      <c r="AN176" s="216"/>
    </row>
    <row r="177">
      <c r="B177" s="267"/>
      <c r="C177" s="266"/>
      <c r="D177" s="266"/>
      <c r="E177" s="266"/>
      <c r="F177" s="266"/>
      <c r="G177" s="266"/>
      <c r="H177" s="266"/>
      <c r="I177" s="266"/>
      <c r="J177" s="266"/>
      <c r="K177" s="266"/>
      <c r="L177" s="266"/>
      <c r="M177" s="266"/>
      <c r="N177" s="266"/>
      <c r="O177" s="266"/>
      <c r="P177" s="266"/>
      <c r="Q177" s="266"/>
      <c r="R177" s="266"/>
      <c r="S177" s="216"/>
      <c r="T177" s="216"/>
      <c r="U177" s="217"/>
      <c r="V177" s="216"/>
      <c r="W177" s="216"/>
      <c r="X177" s="216"/>
      <c r="Y177" s="216"/>
      <c r="Z177" s="216"/>
      <c r="AA177" s="216"/>
      <c r="AB177" s="216"/>
      <c r="AC177" s="216"/>
      <c r="AD177" s="216"/>
      <c r="AE177" s="216"/>
      <c r="AF177" s="216"/>
      <c r="AG177" s="216"/>
      <c r="AH177" s="216"/>
      <c r="AI177" s="216"/>
      <c r="AJ177" s="216"/>
      <c r="AK177" s="216"/>
      <c r="AL177" s="216"/>
      <c r="AM177" s="216"/>
      <c r="AN177" s="216"/>
    </row>
    <row r="178">
      <c r="B178" s="267"/>
      <c r="C178" s="266"/>
      <c r="D178" s="266"/>
      <c r="E178" s="266"/>
      <c r="F178" s="266"/>
      <c r="G178" s="266"/>
      <c r="H178" s="266"/>
      <c r="I178" s="266"/>
      <c r="J178" s="266"/>
      <c r="K178" s="266"/>
      <c r="L178" s="266"/>
      <c r="M178" s="266"/>
      <c r="N178" s="266"/>
      <c r="O178" s="266"/>
      <c r="P178" s="266"/>
      <c r="Q178" s="266"/>
      <c r="R178" s="266"/>
      <c r="S178" s="216"/>
      <c r="T178" s="216"/>
      <c r="U178" s="217"/>
      <c r="V178" s="216"/>
      <c r="W178" s="216"/>
      <c r="X178" s="216"/>
      <c r="Y178" s="216"/>
      <c r="Z178" s="216"/>
      <c r="AA178" s="216"/>
      <c r="AB178" s="216"/>
      <c r="AC178" s="216"/>
      <c r="AD178" s="216"/>
      <c r="AE178" s="216"/>
      <c r="AF178" s="216"/>
      <c r="AG178" s="216"/>
      <c r="AH178" s="216"/>
      <c r="AI178" s="216"/>
      <c r="AJ178" s="216"/>
      <c r="AK178" s="216"/>
      <c r="AL178" s="216"/>
      <c r="AM178" s="216"/>
      <c r="AN178" s="216"/>
    </row>
    <row r="179">
      <c r="B179" s="267"/>
      <c r="C179" s="266"/>
      <c r="D179" s="266"/>
      <c r="E179" s="266"/>
      <c r="F179" s="266"/>
      <c r="G179" s="266"/>
      <c r="H179" s="266"/>
      <c r="I179" s="266"/>
      <c r="J179" s="266"/>
      <c r="K179" s="266"/>
      <c r="L179" s="266"/>
      <c r="M179" s="266"/>
      <c r="N179" s="266"/>
      <c r="O179" s="266"/>
      <c r="P179" s="266"/>
      <c r="Q179" s="266"/>
      <c r="R179" s="266"/>
      <c r="S179" s="216"/>
      <c r="T179" s="216"/>
      <c r="U179" s="217"/>
      <c r="V179" s="216"/>
      <c r="W179" s="216"/>
      <c r="X179" s="216"/>
      <c r="Y179" s="216"/>
      <c r="Z179" s="216"/>
      <c r="AA179" s="216"/>
      <c r="AB179" s="216"/>
      <c r="AC179" s="216"/>
      <c r="AD179" s="216"/>
      <c r="AE179" s="216"/>
      <c r="AF179" s="216"/>
      <c r="AG179" s="216"/>
      <c r="AH179" s="216"/>
      <c r="AI179" s="216"/>
      <c r="AJ179" s="216"/>
      <c r="AK179" s="216"/>
      <c r="AL179" s="216"/>
      <c r="AM179" s="216"/>
      <c r="AN179" s="216"/>
    </row>
    <row r="180">
      <c r="B180" s="267"/>
      <c r="C180" s="266"/>
      <c r="D180" s="266"/>
      <c r="E180" s="266"/>
      <c r="F180" s="266"/>
      <c r="G180" s="266"/>
      <c r="H180" s="266"/>
      <c r="I180" s="266"/>
      <c r="J180" s="266"/>
      <c r="K180" s="266"/>
      <c r="L180" s="266"/>
      <c r="M180" s="266"/>
      <c r="N180" s="266"/>
      <c r="O180" s="266"/>
      <c r="P180" s="266"/>
      <c r="Q180" s="266"/>
      <c r="R180" s="266"/>
      <c r="S180" s="216"/>
      <c r="T180" s="216"/>
      <c r="U180" s="217"/>
      <c r="V180" s="216"/>
      <c r="W180" s="216"/>
      <c r="X180" s="216"/>
      <c r="Y180" s="216"/>
      <c r="Z180" s="216"/>
      <c r="AA180" s="216"/>
      <c r="AB180" s="216"/>
      <c r="AC180" s="216"/>
      <c r="AD180" s="216"/>
      <c r="AE180" s="216"/>
      <c r="AF180" s="216"/>
      <c r="AG180" s="216"/>
      <c r="AH180" s="216"/>
      <c r="AI180" s="216"/>
      <c r="AJ180" s="216"/>
      <c r="AK180" s="216"/>
      <c r="AL180" s="216"/>
      <c r="AM180" s="216"/>
      <c r="AN180" s="216"/>
    </row>
    <row r="181">
      <c r="B181" s="267"/>
      <c r="C181" s="266"/>
      <c r="D181" s="266"/>
      <c r="E181" s="266"/>
      <c r="F181" s="266"/>
      <c r="G181" s="266"/>
      <c r="H181" s="266"/>
      <c r="I181" s="266"/>
      <c r="J181" s="266"/>
      <c r="K181" s="266"/>
      <c r="L181" s="266"/>
      <c r="M181" s="266"/>
      <c r="N181" s="266"/>
      <c r="O181" s="266"/>
      <c r="P181" s="266"/>
      <c r="Q181" s="266"/>
      <c r="R181" s="266"/>
      <c r="S181" s="216"/>
      <c r="T181" s="216"/>
      <c r="U181" s="217"/>
      <c r="V181" s="216"/>
      <c r="W181" s="216"/>
      <c r="X181" s="216"/>
      <c r="Y181" s="216"/>
      <c r="Z181" s="216"/>
      <c r="AA181" s="216"/>
      <c r="AB181" s="216"/>
      <c r="AC181" s="216"/>
      <c r="AD181" s="216"/>
      <c r="AE181" s="216"/>
      <c r="AF181" s="216"/>
      <c r="AG181" s="216"/>
      <c r="AH181" s="216"/>
      <c r="AI181" s="216"/>
      <c r="AJ181" s="216"/>
      <c r="AK181" s="216"/>
      <c r="AL181" s="216"/>
      <c r="AM181" s="216"/>
      <c r="AN181" s="216"/>
    </row>
    <row r="182">
      <c r="B182" s="267"/>
      <c r="C182" s="266"/>
      <c r="D182" s="266"/>
      <c r="E182" s="266"/>
      <c r="F182" s="266"/>
      <c r="G182" s="266"/>
      <c r="H182" s="266"/>
      <c r="I182" s="266"/>
      <c r="J182" s="266"/>
      <c r="K182" s="266"/>
      <c r="L182" s="266"/>
      <c r="M182" s="266"/>
      <c r="N182" s="266"/>
      <c r="O182" s="266"/>
      <c r="P182" s="266"/>
      <c r="Q182" s="266"/>
      <c r="R182" s="266"/>
      <c r="S182" s="216"/>
      <c r="T182" s="216"/>
      <c r="U182" s="217"/>
      <c r="V182" s="216"/>
      <c r="W182" s="216"/>
      <c r="X182" s="216"/>
      <c r="Y182" s="216"/>
      <c r="Z182" s="216"/>
      <c r="AA182" s="216"/>
      <c r="AB182" s="216"/>
      <c r="AC182" s="216"/>
      <c r="AD182" s="216"/>
      <c r="AE182" s="216"/>
      <c r="AF182" s="216"/>
      <c r="AG182" s="216"/>
      <c r="AH182" s="216"/>
      <c r="AI182" s="216"/>
      <c r="AJ182" s="216"/>
      <c r="AK182" s="216"/>
      <c r="AL182" s="216"/>
      <c r="AM182" s="216"/>
      <c r="AN182" s="216"/>
    </row>
    <row r="183">
      <c r="B183" s="267"/>
      <c r="C183" s="266"/>
      <c r="D183" s="266"/>
      <c r="E183" s="266"/>
      <c r="F183" s="266"/>
      <c r="G183" s="266"/>
      <c r="H183" s="266"/>
      <c r="I183" s="266"/>
      <c r="J183" s="266"/>
      <c r="K183" s="266"/>
      <c r="L183" s="266"/>
      <c r="M183" s="266"/>
      <c r="N183" s="266"/>
      <c r="O183" s="266"/>
      <c r="P183" s="266"/>
      <c r="Q183" s="266"/>
      <c r="R183" s="266"/>
      <c r="S183" s="216"/>
      <c r="T183" s="216"/>
      <c r="U183" s="217"/>
      <c r="V183" s="216"/>
      <c r="W183" s="216"/>
      <c r="X183" s="216"/>
      <c r="Y183" s="216"/>
      <c r="Z183" s="216"/>
      <c r="AA183" s="216"/>
      <c r="AB183" s="216"/>
      <c r="AC183" s="216"/>
      <c r="AD183" s="216"/>
      <c r="AE183" s="216"/>
      <c r="AF183" s="216"/>
      <c r="AG183" s="216"/>
      <c r="AH183" s="216"/>
      <c r="AI183" s="216"/>
      <c r="AJ183" s="216"/>
      <c r="AK183" s="216"/>
      <c r="AL183" s="216"/>
      <c r="AM183" s="216"/>
      <c r="AN183" s="216"/>
    </row>
    <row r="184">
      <c r="B184" s="267"/>
      <c r="C184" s="266"/>
      <c r="D184" s="266"/>
      <c r="E184" s="266"/>
      <c r="F184" s="266"/>
      <c r="G184" s="266"/>
      <c r="H184" s="266"/>
      <c r="I184" s="266"/>
      <c r="J184" s="266"/>
      <c r="K184" s="266"/>
      <c r="L184" s="266"/>
      <c r="M184" s="266"/>
      <c r="N184" s="266"/>
      <c r="O184" s="266"/>
      <c r="P184" s="266"/>
      <c r="Q184" s="266"/>
      <c r="R184" s="266"/>
      <c r="S184" s="216"/>
      <c r="T184" s="216"/>
      <c r="U184" s="217"/>
      <c r="V184" s="216"/>
      <c r="W184" s="216"/>
      <c r="X184" s="216"/>
      <c r="Y184" s="216"/>
      <c r="Z184" s="216"/>
      <c r="AA184" s="216"/>
      <c r="AB184" s="216"/>
      <c r="AC184" s="216"/>
      <c r="AD184" s="216"/>
      <c r="AE184" s="216"/>
      <c r="AF184" s="216"/>
      <c r="AG184" s="216"/>
      <c r="AH184" s="216"/>
      <c r="AI184" s="216"/>
      <c r="AJ184" s="216"/>
      <c r="AK184" s="216"/>
      <c r="AL184" s="216"/>
      <c r="AM184" s="216"/>
      <c r="AN184" s="216"/>
    </row>
    <row r="185">
      <c r="B185" s="267"/>
      <c r="C185" s="266"/>
      <c r="D185" s="266"/>
      <c r="E185" s="266"/>
      <c r="F185" s="266"/>
      <c r="G185" s="266"/>
      <c r="H185" s="266"/>
      <c r="I185" s="266"/>
      <c r="J185" s="266"/>
      <c r="K185" s="266"/>
      <c r="L185" s="266"/>
      <c r="M185" s="266"/>
      <c r="N185" s="266"/>
      <c r="O185" s="266"/>
      <c r="P185" s="266"/>
      <c r="Q185" s="266"/>
      <c r="R185" s="266"/>
      <c r="S185" s="216"/>
      <c r="T185" s="216"/>
      <c r="U185" s="217"/>
      <c r="V185" s="216"/>
      <c r="W185" s="216"/>
      <c r="X185" s="216"/>
      <c r="Y185" s="216"/>
      <c r="Z185" s="216"/>
      <c r="AA185" s="216"/>
      <c r="AB185" s="216"/>
      <c r="AC185" s="216"/>
      <c r="AD185" s="216"/>
      <c r="AE185" s="216"/>
      <c r="AF185" s="216"/>
      <c r="AG185" s="216"/>
      <c r="AH185" s="216"/>
      <c r="AI185" s="216"/>
      <c r="AJ185" s="216"/>
      <c r="AK185" s="216"/>
      <c r="AL185" s="216"/>
      <c r="AM185" s="216"/>
      <c r="AN185" s="216"/>
    </row>
    <row r="186">
      <c r="B186" s="267"/>
      <c r="C186" s="266"/>
      <c r="D186" s="266"/>
      <c r="E186" s="266"/>
      <c r="F186" s="266"/>
      <c r="G186" s="266"/>
      <c r="H186" s="266"/>
      <c r="I186" s="266"/>
      <c r="J186" s="266"/>
      <c r="K186" s="266"/>
      <c r="L186" s="266"/>
      <c r="M186" s="266"/>
      <c r="N186" s="266"/>
      <c r="O186" s="266"/>
      <c r="P186" s="266"/>
      <c r="Q186" s="266"/>
      <c r="R186" s="266"/>
      <c r="S186" s="216"/>
      <c r="T186" s="216"/>
      <c r="U186" s="217"/>
      <c r="V186" s="216"/>
      <c r="W186" s="216"/>
      <c r="X186" s="216"/>
      <c r="Y186" s="216"/>
      <c r="Z186" s="216"/>
      <c r="AA186" s="216"/>
      <c r="AB186" s="216"/>
      <c r="AC186" s="216"/>
      <c r="AD186" s="216"/>
      <c r="AE186" s="216"/>
      <c r="AF186" s="216"/>
      <c r="AG186" s="216"/>
      <c r="AH186" s="216"/>
      <c r="AI186" s="216"/>
      <c r="AJ186" s="216"/>
      <c r="AK186" s="216"/>
      <c r="AL186" s="216"/>
      <c r="AM186" s="216"/>
      <c r="AN186" s="216"/>
    </row>
    <row r="187">
      <c r="B187" s="267"/>
      <c r="C187" s="266"/>
      <c r="D187" s="266"/>
      <c r="E187" s="266"/>
      <c r="F187" s="266"/>
      <c r="G187" s="266"/>
      <c r="H187" s="266"/>
      <c r="I187" s="266"/>
      <c r="J187" s="266"/>
      <c r="K187" s="266"/>
      <c r="L187" s="266"/>
      <c r="M187" s="266"/>
      <c r="N187" s="266"/>
      <c r="O187" s="266"/>
      <c r="P187" s="266"/>
      <c r="Q187" s="266"/>
      <c r="R187" s="266"/>
      <c r="S187" s="216"/>
      <c r="T187" s="216"/>
      <c r="U187" s="217"/>
      <c r="V187" s="216"/>
      <c r="W187" s="216"/>
      <c r="X187" s="216"/>
      <c r="Y187" s="216"/>
      <c r="Z187" s="216"/>
      <c r="AA187" s="216"/>
      <c r="AB187" s="216"/>
      <c r="AC187" s="216"/>
      <c r="AD187" s="216"/>
      <c r="AE187" s="216"/>
      <c r="AF187" s="216"/>
      <c r="AG187" s="216"/>
      <c r="AH187" s="216"/>
      <c r="AI187" s="216"/>
      <c r="AJ187" s="216"/>
      <c r="AK187" s="216"/>
      <c r="AL187" s="216"/>
      <c r="AM187" s="216"/>
      <c r="AN187" s="216"/>
    </row>
    <row r="188">
      <c r="B188" s="267"/>
      <c r="C188" s="266"/>
      <c r="D188" s="266"/>
      <c r="E188" s="266"/>
      <c r="F188" s="266"/>
      <c r="G188" s="266"/>
      <c r="H188" s="266"/>
      <c r="I188" s="266"/>
      <c r="J188" s="266"/>
      <c r="K188" s="266"/>
      <c r="L188" s="266"/>
      <c r="M188" s="266"/>
      <c r="N188" s="266"/>
      <c r="O188" s="266"/>
      <c r="P188" s="266"/>
      <c r="Q188" s="266"/>
      <c r="R188" s="266"/>
      <c r="S188" s="216"/>
      <c r="T188" s="216"/>
      <c r="U188" s="217"/>
      <c r="V188" s="216"/>
      <c r="W188" s="216"/>
      <c r="X188" s="216"/>
      <c r="Y188" s="216"/>
      <c r="Z188" s="216"/>
      <c r="AA188" s="216"/>
      <c r="AB188" s="216"/>
      <c r="AC188" s="216"/>
      <c r="AD188" s="216"/>
      <c r="AE188" s="216"/>
      <c r="AF188" s="216"/>
      <c r="AG188" s="216"/>
      <c r="AH188" s="216"/>
      <c r="AI188" s="216"/>
      <c r="AJ188" s="216"/>
      <c r="AK188" s="216"/>
      <c r="AL188" s="216"/>
      <c r="AM188" s="216"/>
      <c r="AN188" s="216"/>
    </row>
    <row r="189">
      <c r="B189" s="267"/>
      <c r="C189" s="266"/>
      <c r="D189" s="266"/>
      <c r="E189" s="266"/>
      <c r="F189" s="266"/>
      <c r="G189" s="266"/>
      <c r="H189" s="266"/>
      <c r="I189" s="266"/>
      <c r="J189" s="266"/>
      <c r="K189" s="266"/>
      <c r="L189" s="266"/>
      <c r="M189" s="266"/>
      <c r="N189" s="266"/>
      <c r="O189" s="266"/>
      <c r="P189" s="266"/>
      <c r="Q189" s="266"/>
      <c r="R189" s="266"/>
      <c r="S189" s="216"/>
      <c r="T189" s="216"/>
      <c r="U189" s="217"/>
      <c r="V189" s="216"/>
      <c r="W189" s="216"/>
      <c r="X189" s="216"/>
      <c r="Y189" s="216"/>
      <c r="Z189" s="216"/>
      <c r="AA189" s="216"/>
      <c r="AB189" s="216"/>
      <c r="AC189" s="216"/>
      <c r="AD189" s="216"/>
      <c r="AE189" s="216"/>
      <c r="AF189" s="216"/>
      <c r="AG189" s="216"/>
      <c r="AH189" s="216"/>
      <c r="AI189" s="216"/>
      <c r="AJ189" s="216"/>
      <c r="AK189" s="216"/>
      <c r="AL189" s="216"/>
      <c r="AM189" s="216"/>
      <c r="AN189" s="216"/>
    </row>
    <row r="190">
      <c r="B190" s="267"/>
      <c r="C190" s="266"/>
      <c r="D190" s="266"/>
      <c r="E190" s="266"/>
      <c r="F190" s="266"/>
      <c r="G190" s="266"/>
      <c r="H190" s="266"/>
      <c r="I190" s="266"/>
      <c r="J190" s="266"/>
      <c r="K190" s="266"/>
      <c r="L190" s="266"/>
      <c r="M190" s="266"/>
      <c r="N190" s="266"/>
      <c r="O190" s="266"/>
      <c r="P190" s="266"/>
      <c r="Q190" s="266"/>
      <c r="R190" s="266"/>
      <c r="S190" s="216"/>
      <c r="T190" s="216"/>
      <c r="U190" s="217"/>
      <c r="V190" s="216"/>
      <c r="W190" s="216"/>
      <c r="X190" s="216"/>
      <c r="Y190" s="216"/>
      <c r="Z190" s="216"/>
      <c r="AA190" s="216"/>
      <c r="AB190" s="216"/>
      <c r="AC190" s="216"/>
      <c r="AD190" s="216"/>
      <c r="AE190" s="216"/>
      <c r="AF190" s="216"/>
      <c r="AG190" s="216"/>
      <c r="AH190" s="216"/>
      <c r="AI190" s="216"/>
      <c r="AJ190" s="216"/>
      <c r="AK190" s="216"/>
      <c r="AL190" s="216"/>
      <c r="AM190" s="216"/>
      <c r="AN190" s="216"/>
    </row>
    <row r="191">
      <c r="B191" s="267"/>
      <c r="C191" s="266"/>
      <c r="D191" s="266"/>
      <c r="E191" s="266"/>
      <c r="F191" s="266"/>
      <c r="G191" s="266"/>
      <c r="H191" s="266"/>
      <c r="I191" s="266"/>
      <c r="J191" s="266"/>
      <c r="K191" s="266"/>
      <c r="L191" s="266"/>
      <c r="M191" s="266"/>
      <c r="N191" s="266"/>
      <c r="O191" s="266"/>
      <c r="P191" s="266"/>
      <c r="Q191" s="266"/>
      <c r="R191" s="266"/>
      <c r="S191" s="216"/>
      <c r="T191" s="216"/>
      <c r="U191" s="217"/>
      <c r="V191" s="216"/>
      <c r="W191" s="216"/>
      <c r="X191" s="216"/>
      <c r="Y191" s="216"/>
      <c r="Z191" s="216"/>
      <c r="AA191" s="216"/>
      <c r="AB191" s="216"/>
      <c r="AC191" s="216"/>
      <c r="AD191" s="216"/>
      <c r="AE191" s="216"/>
      <c r="AF191" s="216"/>
      <c r="AG191" s="216"/>
      <c r="AH191" s="216"/>
      <c r="AI191" s="216"/>
      <c r="AJ191" s="216"/>
      <c r="AK191" s="216"/>
      <c r="AL191" s="216"/>
      <c r="AM191" s="216"/>
      <c r="AN191" s="216"/>
    </row>
    <row r="192">
      <c r="B192" s="267"/>
      <c r="C192" s="266"/>
      <c r="D192" s="266"/>
      <c r="E192" s="266"/>
      <c r="F192" s="266"/>
      <c r="G192" s="266"/>
      <c r="H192" s="266"/>
      <c r="I192" s="266"/>
      <c r="J192" s="266"/>
      <c r="K192" s="266"/>
      <c r="L192" s="266"/>
      <c r="M192" s="266"/>
      <c r="N192" s="266"/>
      <c r="O192" s="266"/>
      <c r="P192" s="266"/>
      <c r="Q192" s="266"/>
      <c r="R192" s="266"/>
      <c r="S192" s="216"/>
      <c r="T192" s="216"/>
      <c r="U192" s="217"/>
      <c r="V192" s="216"/>
      <c r="W192" s="216"/>
      <c r="X192" s="216"/>
      <c r="Y192" s="216"/>
      <c r="Z192" s="216"/>
      <c r="AA192" s="216"/>
      <c r="AB192" s="216"/>
      <c r="AC192" s="216"/>
      <c r="AD192" s="216"/>
      <c r="AE192" s="216"/>
      <c r="AF192" s="216"/>
      <c r="AG192" s="216"/>
      <c r="AH192" s="216"/>
      <c r="AI192" s="216"/>
      <c r="AJ192" s="216"/>
      <c r="AK192" s="216"/>
      <c r="AL192" s="216"/>
      <c r="AM192" s="216"/>
      <c r="AN192" s="216"/>
    </row>
    <row r="193">
      <c r="B193" s="267"/>
      <c r="C193" s="266"/>
      <c r="D193" s="266"/>
      <c r="E193" s="266"/>
      <c r="F193" s="266"/>
      <c r="G193" s="266"/>
      <c r="H193" s="266"/>
      <c r="I193" s="266"/>
      <c r="J193" s="266"/>
      <c r="K193" s="266"/>
      <c r="L193" s="266"/>
      <c r="M193" s="266"/>
      <c r="N193" s="266"/>
      <c r="O193" s="266"/>
      <c r="P193" s="266"/>
      <c r="Q193" s="266"/>
      <c r="R193" s="266"/>
      <c r="S193" s="216"/>
      <c r="T193" s="216"/>
      <c r="U193" s="217"/>
      <c r="V193" s="216"/>
      <c r="W193" s="216"/>
      <c r="X193" s="216"/>
      <c r="Y193" s="216"/>
      <c r="Z193" s="216"/>
      <c r="AA193" s="216"/>
      <c r="AB193" s="216"/>
      <c r="AC193" s="216"/>
      <c r="AD193" s="216"/>
      <c r="AE193" s="216"/>
      <c r="AF193" s="216"/>
      <c r="AG193" s="216"/>
      <c r="AH193" s="216"/>
      <c r="AI193" s="216"/>
      <c r="AJ193" s="216"/>
      <c r="AK193" s="216"/>
      <c r="AL193" s="216"/>
      <c r="AM193" s="216"/>
      <c r="AN193" s="216"/>
    </row>
    <row r="194">
      <c r="B194" s="267"/>
      <c r="C194" s="266"/>
      <c r="D194" s="266"/>
      <c r="E194" s="266"/>
      <c r="F194" s="266"/>
      <c r="G194" s="266"/>
      <c r="H194" s="266"/>
      <c r="I194" s="266"/>
      <c r="J194" s="266"/>
      <c r="K194" s="266"/>
      <c r="L194" s="266"/>
      <c r="M194" s="266"/>
      <c r="N194" s="266"/>
      <c r="O194" s="266"/>
      <c r="P194" s="266"/>
      <c r="Q194" s="266"/>
      <c r="R194" s="266"/>
      <c r="S194" s="216"/>
      <c r="T194" s="216"/>
      <c r="U194" s="217"/>
      <c r="V194" s="216"/>
      <c r="W194" s="216"/>
      <c r="X194" s="216"/>
      <c r="Y194" s="216"/>
      <c r="Z194" s="216"/>
      <c r="AA194" s="216"/>
      <c r="AB194" s="216"/>
      <c r="AC194" s="216"/>
      <c r="AD194" s="216"/>
      <c r="AE194" s="216"/>
      <c r="AF194" s="216"/>
      <c r="AG194" s="216"/>
      <c r="AH194" s="216"/>
      <c r="AI194" s="216"/>
      <c r="AJ194" s="216"/>
      <c r="AK194" s="216"/>
      <c r="AL194" s="216"/>
      <c r="AM194" s="216"/>
      <c r="AN194" s="216"/>
    </row>
    <row r="195">
      <c r="B195" s="267"/>
      <c r="C195" s="266"/>
      <c r="D195" s="266"/>
      <c r="E195" s="266"/>
      <c r="F195" s="266"/>
      <c r="G195" s="266"/>
      <c r="H195" s="266"/>
      <c r="I195" s="266"/>
      <c r="J195" s="266"/>
      <c r="K195" s="266"/>
      <c r="L195" s="266"/>
      <c r="M195" s="266"/>
      <c r="N195" s="266"/>
      <c r="O195" s="266"/>
      <c r="P195" s="266"/>
      <c r="Q195" s="266"/>
      <c r="R195" s="266"/>
      <c r="S195" s="216"/>
      <c r="T195" s="216"/>
      <c r="U195" s="217"/>
      <c r="V195" s="216"/>
      <c r="W195" s="216"/>
      <c r="X195" s="216"/>
      <c r="Y195" s="216"/>
      <c r="Z195" s="216"/>
      <c r="AA195" s="216"/>
      <c r="AB195" s="216"/>
      <c r="AC195" s="216"/>
      <c r="AD195" s="216"/>
      <c r="AE195" s="216"/>
      <c r="AF195" s="216"/>
      <c r="AG195" s="216"/>
      <c r="AH195" s="216"/>
      <c r="AI195" s="216"/>
      <c r="AJ195" s="216"/>
      <c r="AK195" s="216"/>
      <c r="AL195" s="216"/>
      <c r="AM195" s="216"/>
      <c r="AN195" s="216"/>
    </row>
    <row r="196">
      <c r="B196" s="267"/>
      <c r="C196" s="266"/>
      <c r="D196" s="266"/>
      <c r="E196" s="266"/>
      <c r="F196" s="266"/>
      <c r="G196" s="266"/>
      <c r="H196" s="266"/>
      <c r="I196" s="266"/>
      <c r="J196" s="266"/>
      <c r="K196" s="266"/>
      <c r="L196" s="266"/>
      <c r="M196" s="266"/>
      <c r="N196" s="266"/>
      <c r="O196" s="266"/>
      <c r="P196" s="266"/>
      <c r="Q196" s="266"/>
      <c r="R196" s="266"/>
      <c r="S196" s="216"/>
      <c r="T196" s="216"/>
      <c r="U196" s="217"/>
      <c r="V196" s="216"/>
      <c r="W196" s="216"/>
      <c r="X196" s="216"/>
      <c r="Y196" s="216"/>
      <c r="Z196" s="216"/>
      <c r="AA196" s="216"/>
      <c r="AB196" s="216"/>
      <c r="AC196" s="216"/>
      <c r="AD196" s="216"/>
      <c r="AE196" s="216"/>
      <c r="AF196" s="216"/>
      <c r="AG196" s="216"/>
      <c r="AH196" s="216"/>
      <c r="AI196" s="216"/>
      <c r="AJ196" s="216"/>
      <c r="AK196" s="216"/>
      <c r="AL196" s="216"/>
      <c r="AM196" s="216"/>
      <c r="AN196" s="216"/>
    </row>
    <row r="197">
      <c r="B197" s="267"/>
      <c r="C197" s="266"/>
      <c r="D197" s="266"/>
      <c r="E197" s="266"/>
      <c r="F197" s="266"/>
      <c r="G197" s="266"/>
      <c r="H197" s="266"/>
      <c r="I197" s="266"/>
      <c r="J197" s="266"/>
      <c r="K197" s="266"/>
      <c r="L197" s="266"/>
      <c r="M197" s="266"/>
      <c r="N197" s="266"/>
      <c r="O197" s="266"/>
      <c r="P197" s="266"/>
      <c r="Q197" s="266"/>
      <c r="R197" s="266"/>
      <c r="S197" s="216"/>
      <c r="T197" s="216"/>
      <c r="U197" s="217"/>
      <c r="V197" s="216"/>
      <c r="W197" s="216"/>
      <c r="X197" s="216"/>
      <c r="Y197" s="216"/>
      <c r="Z197" s="216"/>
      <c r="AA197" s="216"/>
      <c r="AB197" s="216"/>
      <c r="AC197" s="216"/>
      <c r="AD197" s="216"/>
      <c r="AE197" s="216"/>
      <c r="AF197" s="216"/>
      <c r="AG197" s="216"/>
      <c r="AH197" s="216"/>
      <c r="AI197" s="216"/>
      <c r="AJ197" s="216"/>
      <c r="AK197" s="216"/>
      <c r="AL197" s="216"/>
      <c r="AM197" s="216"/>
      <c r="AN197" s="216"/>
    </row>
    <row r="198">
      <c r="B198" s="267"/>
      <c r="C198" s="266"/>
      <c r="D198" s="266"/>
      <c r="E198" s="266"/>
      <c r="F198" s="266"/>
      <c r="G198" s="266"/>
      <c r="H198" s="266"/>
      <c r="I198" s="266"/>
      <c r="J198" s="266"/>
      <c r="K198" s="266"/>
      <c r="L198" s="266"/>
      <c r="M198" s="266"/>
      <c r="N198" s="266"/>
      <c r="O198" s="266"/>
      <c r="P198" s="266"/>
      <c r="Q198" s="266"/>
      <c r="R198" s="266"/>
      <c r="S198" s="216"/>
      <c r="T198" s="216"/>
      <c r="U198" s="217"/>
      <c r="V198" s="216"/>
      <c r="W198" s="216"/>
      <c r="X198" s="216"/>
      <c r="Y198" s="216"/>
      <c r="Z198" s="216"/>
      <c r="AA198" s="216"/>
      <c r="AB198" s="216"/>
      <c r="AC198" s="216"/>
      <c r="AD198" s="216"/>
      <c r="AE198" s="216"/>
      <c r="AF198" s="216"/>
      <c r="AG198" s="216"/>
      <c r="AH198" s="216"/>
      <c r="AI198" s="216"/>
      <c r="AJ198" s="216"/>
      <c r="AK198" s="216"/>
      <c r="AL198" s="216"/>
      <c r="AM198" s="216"/>
      <c r="AN198" s="216"/>
    </row>
    <row r="199">
      <c r="B199" s="267"/>
      <c r="C199" s="266"/>
      <c r="D199" s="266"/>
      <c r="E199" s="266"/>
      <c r="F199" s="266"/>
      <c r="G199" s="266"/>
      <c r="H199" s="266"/>
      <c r="I199" s="266"/>
      <c r="J199" s="266"/>
      <c r="K199" s="266"/>
      <c r="L199" s="266"/>
      <c r="M199" s="266"/>
      <c r="N199" s="266"/>
      <c r="O199" s="266"/>
      <c r="P199" s="266"/>
      <c r="Q199" s="266"/>
      <c r="R199" s="266"/>
      <c r="S199" s="216"/>
      <c r="T199" s="216"/>
      <c r="U199" s="217"/>
      <c r="V199" s="216"/>
      <c r="W199" s="216"/>
      <c r="X199" s="216"/>
      <c r="Y199" s="216"/>
      <c r="Z199" s="216"/>
      <c r="AA199" s="216"/>
      <c r="AB199" s="216"/>
      <c r="AC199" s="216"/>
      <c r="AD199" s="216"/>
      <c r="AE199" s="216"/>
      <c r="AF199" s="216"/>
      <c r="AG199" s="216"/>
      <c r="AH199" s="216"/>
      <c r="AI199" s="216"/>
      <c r="AJ199" s="216"/>
      <c r="AK199" s="216"/>
      <c r="AL199" s="216"/>
      <c r="AM199" s="216"/>
      <c r="AN199" s="216"/>
    </row>
    <row r="200">
      <c r="B200" s="267"/>
      <c r="C200" s="266"/>
      <c r="D200" s="266"/>
      <c r="E200" s="266"/>
      <c r="F200" s="266"/>
      <c r="G200" s="266"/>
      <c r="H200" s="266"/>
      <c r="I200" s="266"/>
      <c r="J200" s="266"/>
      <c r="K200" s="266"/>
      <c r="L200" s="266"/>
      <c r="M200" s="266"/>
      <c r="N200" s="266"/>
      <c r="O200" s="266"/>
      <c r="P200" s="266"/>
      <c r="Q200" s="266"/>
      <c r="R200" s="266"/>
      <c r="S200" s="216"/>
      <c r="T200" s="216"/>
      <c r="U200" s="217"/>
      <c r="V200" s="216"/>
      <c r="W200" s="216"/>
      <c r="X200" s="216"/>
      <c r="Y200" s="216"/>
      <c r="Z200" s="216"/>
      <c r="AA200" s="216"/>
      <c r="AB200" s="216"/>
      <c r="AC200" s="216"/>
      <c r="AD200" s="216"/>
      <c r="AE200" s="216"/>
      <c r="AF200" s="216"/>
      <c r="AG200" s="216"/>
      <c r="AH200" s="216"/>
      <c r="AI200" s="216"/>
      <c r="AJ200" s="216"/>
      <c r="AK200" s="216"/>
      <c r="AL200" s="216"/>
      <c r="AM200" s="216"/>
      <c r="AN200" s="216"/>
    </row>
    <row r="201">
      <c r="B201" s="267"/>
      <c r="C201" s="266"/>
      <c r="D201" s="266"/>
      <c r="E201" s="266"/>
      <c r="F201" s="266"/>
      <c r="G201" s="266"/>
      <c r="H201" s="266"/>
      <c r="I201" s="266"/>
      <c r="J201" s="266"/>
      <c r="K201" s="266"/>
      <c r="L201" s="266"/>
      <c r="M201" s="266"/>
      <c r="N201" s="266"/>
      <c r="O201" s="266"/>
      <c r="P201" s="266"/>
      <c r="Q201" s="266"/>
      <c r="R201" s="266"/>
      <c r="S201" s="216"/>
      <c r="T201" s="216"/>
      <c r="U201" s="217"/>
      <c r="V201" s="216"/>
      <c r="W201" s="216"/>
      <c r="X201" s="216"/>
      <c r="Y201" s="216"/>
      <c r="Z201" s="216"/>
      <c r="AA201" s="216"/>
      <c r="AB201" s="216"/>
      <c r="AC201" s="216"/>
      <c r="AD201" s="216"/>
      <c r="AE201" s="216"/>
      <c r="AF201" s="216"/>
      <c r="AG201" s="216"/>
      <c r="AH201" s="216"/>
      <c r="AI201" s="216"/>
      <c r="AJ201" s="216"/>
      <c r="AK201" s="216"/>
      <c r="AL201" s="216"/>
      <c r="AM201" s="216"/>
      <c r="AN201" s="216"/>
    </row>
    <row r="202">
      <c r="B202" s="267"/>
      <c r="C202" s="266"/>
      <c r="D202" s="266"/>
      <c r="E202" s="266"/>
      <c r="F202" s="266"/>
      <c r="G202" s="266"/>
      <c r="H202" s="266"/>
      <c r="I202" s="266"/>
      <c r="J202" s="266"/>
      <c r="K202" s="266"/>
      <c r="L202" s="266"/>
      <c r="M202" s="266"/>
      <c r="N202" s="266"/>
      <c r="O202" s="266"/>
      <c r="P202" s="266"/>
      <c r="Q202" s="266"/>
      <c r="R202" s="266"/>
      <c r="S202" s="216"/>
      <c r="T202" s="216"/>
      <c r="U202" s="217"/>
      <c r="V202" s="216"/>
      <c r="W202" s="216"/>
      <c r="X202" s="216"/>
      <c r="Y202" s="216"/>
      <c r="Z202" s="216"/>
      <c r="AA202" s="216"/>
      <c r="AB202" s="216"/>
      <c r="AC202" s="216"/>
      <c r="AD202" s="216"/>
      <c r="AE202" s="216"/>
      <c r="AF202" s="216"/>
      <c r="AG202" s="216"/>
      <c r="AH202" s="216"/>
      <c r="AI202" s="216"/>
      <c r="AJ202" s="216"/>
      <c r="AK202" s="216"/>
      <c r="AL202" s="216"/>
      <c r="AM202" s="216"/>
      <c r="AN202" s="216"/>
    </row>
    <row r="203">
      <c r="B203" s="267"/>
      <c r="C203" s="266"/>
      <c r="D203" s="266"/>
      <c r="E203" s="266"/>
      <c r="F203" s="266"/>
      <c r="G203" s="266"/>
      <c r="H203" s="266"/>
      <c r="I203" s="266"/>
      <c r="J203" s="266"/>
      <c r="K203" s="266"/>
      <c r="L203" s="266"/>
      <c r="M203" s="266"/>
      <c r="N203" s="266"/>
      <c r="O203" s="266"/>
      <c r="P203" s="266"/>
      <c r="Q203" s="266"/>
      <c r="R203" s="266"/>
      <c r="S203" s="216"/>
      <c r="T203" s="216"/>
      <c r="U203" s="217"/>
      <c r="V203" s="216"/>
      <c r="W203" s="216"/>
      <c r="X203" s="216"/>
      <c r="Y203" s="216"/>
      <c r="Z203" s="216"/>
      <c r="AA203" s="216"/>
      <c r="AB203" s="216"/>
      <c r="AC203" s="216"/>
      <c r="AD203" s="216"/>
      <c r="AE203" s="216"/>
      <c r="AF203" s="216"/>
      <c r="AG203" s="216"/>
      <c r="AH203" s="216"/>
      <c r="AI203" s="216"/>
      <c r="AJ203" s="216"/>
      <c r="AK203" s="216"/>
      <c r="AL203" s="216"/>
      <c r="AM203" s="216"/>
      <c r="AN203" s="216"/>
    </row>
    <row r="204">
      <c r="B204" s="267"/>
      <c r="C204" s="266"/>
      <c r="D204" s="266"/>
      <c r="E204" s="266"/>
      <c r="F204" s="266"/>
      <c r="G204" s="266"/>
      <c r="H204" s="266"/>
      <c r="I204" s="266"/>
      <c r="J204" s="266"/>
      <c r="K204" s="266"/>
      <c r="L204" s="266"/>
      <c r="M204" s="266"/>
      <c r="N204" s="266"/>
      <c r="O204" s="266"/>
      <c r="P204" s="266"/>
      <c r="Q204" s="266"/>
      <c r="R204" s="266"/>
      <c r="S204" s="216"/>
      <c r="T204" s="216"/>
      <c r="U204" s="217"/>
      <c r="V204" s="216"/>
      <c r="W204" s="216"/>
      <c r="X204" s="216"/>
      <c r="Y204" s="216"/>
      <c r="Z204" s="216"/>
      <c r="AA204" s="216"/>
      <c r="AB204" s="216"/>
      <c r="AC204" s="216"/>
      <c r="AD204" s="216"/>
      <c r="AE204" s="216"/>
      <c r="AF204" s="216"/>
      <c r="AG204" s="216"/>
      <c r="AH204" s="216"/>
      <c r="AI204" s="216"/>
      <c r="AJ204" s="216"/>
      <c r="AK204" s="216"/>
      <c r="AL204" s="216"/>
      <c r="AM204" s="216"/>
      <c r="AN204" s="216"/>
    </row>
    <row r="205">
      <c r="B205" s="267"/>
      <c r="C205" s="266"/>
      <c r="D205" s="266"/>
      <c r="E205" s="266"/>
      <c r="F205" s="266"/>
      <c r="G205" s="266"/>
      <c r="H205" s="266"/>
      <c r="I205" s="266"/>
      <c r="J205" s="266"/>
      <c r="K205" s="266"/>
      <c r="L205" s="266"/>
      <c r="M205" s="266"/>
      <c r="N205" s="266"/>
      <c r="O205" s="266"/>
      <c r="P205" s="266"/>
      <c r="Q205" s="266"/>
      <c r="R205" s="266"/>
      <c r="S205" s="216"/>
      <c r="T205" s="216"/>
      <c r="U205" s="217"/>
      <c r="V205" s="216"/>
      <c r="W205" s="216"/>
      <c r="X205" s="216"/>
      <c r="Y205" s="216"/>
      <c r="Z205" s="216"/>
      <c r="AA205" s="216"/>
      <c r="AB205" s="216"/>
      <c r="AC205" s="216"/>
      <c r="AD205" s="216"/>
      <c r="AE205" s="216"/>
      <c r="AF205" s="216"/>
      <c r="AG205" s="216"/>
      <c r="AH205" s="216"/>
      <c r="AI205" s="216"/>
      <c r="AJ205" s="216"/>
      <c r="AK205" s="216"/>
      <c r="AL205" s="216"/>
      <c r="AM205" s="216"/>
      <c r="AN205" s="216"/>
    </row>
    <row r="206">
      <c r="B206" s="267"/>
      <c r="C206" s="266"/>
      <c r="D206" s="266"/>
      <c r="E206" s="266"/>
      <c r="F206" s="266"/>
      <c r="G206" s="266"/>
      <c r="H206" s="266"/>
      <c r="I206" s="266"/>
      <c r="J206" s="266"/>
      <c r="K206" s="266"/>
      <c r="L206" s="266"/>
      <c r="M206" s="266"/>
      <c r="N206" s="266"/>
      <c r="O206" s="266"/>
      <c r="P206" s="266"/>
      <c r="Q206" s="266"/>
      <c r="R206" s="266"/>
      <c r="S206" s="216"/>
      <c r="T206" s="216"/>
      <c r="U206" s="217"/>
      <c r="V206" s="216"/>
      <c r="W206" s="216"/>
      <c r="X206" s="216"/>
      <c r="Y206" s="216"/>
      <c r="Z206" s="216"/>
      <c r="AA206" s="216"/>
      <c r="AB206" s="216"/>
      <c r="AC206" s="216"/>
      <c r="AD206" s="216"/>
      <c r="AE206" s="216"/>
      <c r="AF206" s="216"/>
      <c r="AG206" s="216"/>
      <c r="AH206" s="216"/>
      <c r="AI206" s="216"/>
      <c r="AJ206" s="216"/>
      <c r="AK206" s="216"/>
      <c r="AL206" s="216"/>
      <c r="AM206" s="216"/>
      <c r="AN206" s="216"/>
    </row>
    <row r="207">
      <c r="B207" s="267"/>
      <c r="C207" s="266"/>
      <c r="D207" s="266"/>
      <c r="E207" s="266"/>
      <c r="F207" s="266"/>
      <c r="G207" s="266"/>
      <c r="H207" s="266"/>
      <c r="I207" s="266"/>
      <c r="J207" s="266"/>
      <c r="K207" s="266"/>
      <c r="L207" s="266"/>
      <c r="M207" s="266"/>
      <c r="N207" s="266"/>
      <c r="O207" s="266"/>
      <c r="P207" s="266"/>
      <c r="Q207" s="266"/>
      <c r="R207" s="266"/>
      <c r="S207" s="216"/>
      <c r="T207" s="216"/>
      <c r="U207" s="217"/>
      <c r="V207" s="216"/>
      <c r="W207" s="216"/>
      <c r="X207" s="216"/>
      <c r="Y207" s="216"/>
      <c r="Z207" s="216"/>
      <c r="AA207" s="216"/>
      <c r="AB207" s="216"/>
      <c r="AC207" s="216"/>
      <c r="AD207" s="216"/>
      <c r="AE207" s="216"/>
      <c r="AF207" s="216"/>
      <c r="AG207" s="216"/>
      <c r="AH207" s="216"/>
      <c r="AI207" s="216"/>
      <c r="AJ207" s="216"/>
      <c r="AK207" s="216"/>
      <c r="AL207" s="216"/>
      <c r="AM207" s="216"/>
      <c r="AN207" s="216"/>
    </row>
    <row r="208">
      <c r="B208" s="267"/>
      <c r="C208" s="266"/>
      <c r="D208" s="266"/>
      <c r="E208" s="266"/>
      <c r="F208" s="266"/>
      <c r="G208" s="266"/>
      <c r="H208" s="266"/>
      <c r="I208" s="266"/>
      <c r="J208" s="266"/>
      <c r="K208" s="266"/>
      <c r="L208" s="266"/>
      <c r="M208" s="266"/>
      <c r="N208" s="266"/>
      <c r="O208" s="266"/>
      <c r="P208" s="266"/>
      <c r="Q208" s="266"/>
      <c r="R208" s="266"/>
      <c r="S208" s="216"/>
      <c r="T208" s="216"/>
      <c r="U208" s="217"/>
      <c r="V208" s="216"/>
      <c r="W208" s="216"/>
      <c r="X208" s="216"/>
      <c r="Y208" s="216"/>
      <c r="Z208" s="216"/>
      <c r="AA208" s="216"/>
      <c r="AB208" s="216"/>
      <c r="AC208" s="216"/>
      <c r="AD208" s="216"/>
      <c r="AE208" s="216"/>
      <c r="AF208" s="216"/>
      <c r="AG208" s="216"/>
      <c r="AH208" s="216"/>
      <c r="AI208" s="216"/>
      <c r="AJ208" s="216"/>
      <c r="AK208" s="216"/>
      <c r="AL208" s="216"/>
      <c r="AM208" s="216"/>
      <c r="AN208" s="216"/>
    </row>
    <row r="209">
      <c r="B209" s="267"/>
      <c r="C209" s="266"/>
      <c r="D209" s="266"/>
      <c r="E209" s="266"/>
      <c r="F209" s="266"/>
      <c r="G209" s="266"/>
      <c r="H209" s="266"/>
      <c r="I209" s="266"/>
      <c r="J209" s="266"/>
      <c r="K209" s="266"/>
      <c r="L209" s="266"/>
      <c r="M209" s="266"/>
      <c r="N209" s="266"/>
      <c r="O209" s="266"/>
      <c r="P209" s="266"/>
      <c r="Q209" s="266"/>
      <c r="R209" s="266"/>
      <c r="S209" s="216"/>
      <c r="T209" s="216"/>
      <c r="U209" s="217"/>
      <c r="V209" s="216"/>
      <c r="W209" s="216"/>
      <c r="X209" s="216"/>
      <c r="Y209" s="216"/>
      <c r="Z209" s="216"/>
      <c r="AA209" s="216"/>
      <c r="AB209" s="216"/>
      <c r="AC209" s="216"/>
      <c r="AD209" s="216"/>
      <c r="AE209" s="216"/>
      <c r="AF209" s="216"/>
      <c r="AG209" s="216"/>
      <c r="AH209" s="216"/>
      <c r="AI209" s="216"/>
      <c r="AJ209" s="216"/>
      <c r="AK209" s="216"/>
      <c r="AL209" s="216"/>
      <c r="AM209" s="216"/>
      <c r="AN209" s="216"/>
    </row>
    <row r="210">
      <c r="B210" s="267"/>
      <c r="C210" s="266"/>
      <c r="D210" s="266"/>
      <c r="E210" s="266"/>
      <c r="F210" s="266"/>
      <c r="G210" s="266"/>
      <c r="H210" s="266"/>
      <c r="I210" s="266"/>
      <c r="J210" s="266"/>
      <c r="K210" s="266"/>
      <c r="L210" s="266"/>
      <c r="M210" s="266"/>
      <c r="N210" s="266"/>
      <c r="O210" s="266"/>
      <c r="P210" s="266"/>
      <c r="Q210" s="266"/>
      <c r="R210" s="266"/>
      <c r="S210" s="216"/>
      <c r="T210" s="216"/>
      <c r="U210" s="217"/>
      <c r="V210" s="216"/>
      <c r="W210" s="216"/>
      <c r="X210" s="216"/>
      <c r="Y210" s="216"/>
      <c r="Z210" s="216"/>
      <c r="AA210" s="216"/>
      <c r="AB210" s="216"/>
      <c r="AC210" s="216"/>
      <c r="AD210" s="216"/>
      <c r="AE210" s="216"/>
      <c r="AF210" s="216"/>
      <c r="AG210" s="216"/>
      <c r="AH210" s="216"/>
      <c r="AI210" s="216"/>
      <c r="AJ210" s="216"/>
      <c r="AK210" s="216"/>
      <c r="AL210" s="216"/>
      <c r="AM210" s="216"/>
      <c r="AN210" s="216"/>
    </row>
    <row r="211">
      <c r="B211" s="267"/>
      <c r="C211" s="266"/>
      <c r="D211" s="266"/>
      <c r="E211" s="266"/>
      <c r="F211" s="266"/>
      <c r="G211" s="266"/>
      <c r="H211" s="266"/>
      <c r="I211" s="266"/>
      <c r="J211" s="266"/>
      <c r="K211" s="266"/>
      <c r="L211" s="266"/>
      <c r="M211" s="266"/>
      <c r="N211" s="266"/>
      <c r="O211" s="266"/>
      <c r="P211" s="266"/>
      <c r="Q211" s="266"/>
      <c r="R211" s="266"/>
      <c r="S211" s="216"/>
      <c r="T211" s="216"/>
      <c r="U211" s="217"/>
      <c r="V211" s="216"/>
      <c r="W211" s="216"/>
      <c r="X211" s="216"/>
      <c r="Y211" s="216"/>
      <c r="Z211" s="216"/>
      <c r="AA211" s="216"/>
      <c r="AB211" s="216"/>
      <c r="AC211" s="216"/>
      <c r="AD211" s="216"/>
      <c r="AE211" s="216"/>
      <c r="AF211" s="216"/>
      <c r="AG211" s="216"/>
      <c r="AH211" s="216"/>
      <c r="AI211" s="216"/>
      <c r="AJ211" s="216"/>
      <c r="AK211" s="216"/>
      <c r="AL211" s="216"/>
      <c r="AM211" s="216"/>
      <c r="AN211" s="216"/>
    </row>
    <row r="212">
      <c r="B212" s="267"/>
      <c r="C212" s="266"/>
      <c r="D212" s="266"/>
      <c r="E212" s="266"/>
      <c r="F212" s="266"/>
      <c r="G212" s="266"/>
      <c r="H212" s="266"/>
      <c r="I212" s="266"/>
      <c r="J212" s="266"/>
      <c r="K212" s="266"/>
      <c r="L212" s="266"/>
      <c r="M212" s="266"/>
      <c r="N212" s="266"/>
      <c r="O212" s="266"/>
      <c r="P212" s="266"/>
      <c r="Q212" s="266"/>
      <c r="R212" s="266"/>
      <c r="S212" s="216"/>
      <c r="T212" s="216"/>
      <c r="U212" s="217"/>
      <c r="V212" s="216"/>
      <c r="W212" s="216"/>
      <c r="X212" s="216"/>
      <c r="Y212" s="216"/>
      <c r="Z212" s="216"/>
      <c r="AA212" s="216"/>
      <c r="AB212" s="216"/>
      <c r="AC212" s="216"/>
      <c r="AD212" s="216"/>
      <c r="AE212" s="216"/>
      <c r="AF212" s="216"/>
      <c r="AG212" s="216"/>
      <c r="AH212" s="216"/>
      <c r="AI212" s="216"/>
      <c r="AJ212" s="216"/>
      <c r="AK212" s="216"/>
      <c r="AL212" s="216"/>
      <c r="AM212" s="216"/>
      <c r="AN212" s="216"/>
    </row>
    <row r="213">
      <c r="B213" s="267"/>
      <c r="C213" s="266"/>
      <c r="D213" s="266"/>
      <c r="E213" s="266"/>
      <c r="F213" s="266"/>
      <c r="G213" s="266"/>
      <c r="H213" s="266"/>
      <c r="I213" s="266"/>
      <c r="J213" s="266"/>
      <c r="K213" s="266"/>
      <c r="L213" s="266"/>
      <c r="M213" s="266"/>
      <c r="N213" s="266"/>
      <c r="O213" s="266"/>
      <c r="P213" s="266"/>
      <c r="Q213" s="266"/>
      <c r="R213" s="266"/>
      <c r="S213" s="216"/>
      <c r="T213" s="216"/>
      <c r="U213" s="217"/>
      <c r="V213" s="216"/>
      <c r="W213" s="216"/>
      <c r="X213" s="216"/>
      <c r="Y213" s="216"/>
      <c r="Z213" s="216"/>
      <c r="AA213" s="216"/>
      <c r="AB213" s="216"/>
      <c r="AC213" s="216"/>
      <c r="AD213" s="216"/>
      <c r="AE213" s="216"/>
      <c r="AF213" s="216"/>
      <c r="AG213" s="216"/>
      <c r="AH213" s="216"/>
      <c r="AI213" s="216"/>
      <c r="AJ213" s="216"/>
      <c r="AK213" s="216"/>
      <c r="AL213" s="216"/>
      <c r="AM213" s="216"/>
      <c r="AN213" s="216"/>
    </row>
    <row r="214">
      <c r="B214" s="267"/>
      <c r="C214" s="266"/>
      <c r="D214" s="266"/>
      <c r="E214" s="266"/>
      <c r="F214" s="266"/>
      <c r="G214" s="266"/>
      <c r="H214" s="266"/>
      <c r="I214" s="266"/>
      <c r="J214" s="266"/>
      <c r="K214" s="266"/>
      <c r="L214" s="266"/>
      <c r="M214" s="266"/>
      <c r="N214" s="266"/>
      <c r="O214" s="266"/>
      <c r="P214" s="266"/>
      <c r="Q214" s="266"/>
      <c r="R214" s="266"/>
      <c r="S214" s="216"/>
      <c r="T214" s="216"/>
      <c r="U214" s="217"/>
      <c r="V214" s="216"/>
      <c r="W214" s="216"/>
      <c r="X214" s="216"/>
      <c r="Y214" s="216"/>
      <c r="Z214" s="216"/>
      <c r="AA214" s="216"/>
      <c r="AB214" s="216"/>
      <c r="AC214" s="216"/>
      <c r="AD214" s="216"/>
      <c r="AE214" s="216"/>
      <c r="AF214" s="216"/>
      <c r="AG214" s="216"/>
      <c r="AH214" s="216"/>
      <c r="AI214" s="216"/>
      <c r="AJ214" s="216"/>
      <c r="AK214" s="216"/>
      <c r="AL214" s="216"/>
      <c r="AM214" s="216"/>
      <c r="AN214" s="216"/>
    </row>
    <row r="215">
      <c r="B215" s="267"/>
      <c r="C215" s="266"/>
      <c r="D215" s="266"/>
      <c r="E215" s="266"/>
      <c r="F215" s="266"/>
      <c r="G215" s="266"/>
      <c r="H215" s="266"/>
      <c r="I215" s="266"/>
      <c r="J215" s="266"/>
      <c r="K215" s="266"/>
      <c r="L215" s="266"/>
      <c r="M215" s="266"/>
      <c r="N215" s="266"/>
      <c r="O215" s="266"/>
      <c r="P215" s="266"/>
      <c r="Q215" s="266"/>
      <c r="R215" s="266"/>
      <c r="S215" s="216"/>
      <c r="T215" s="216"/>
      <c r="U215" s="217"/>
      <c r="V215" s="216"/>
      <c r="W215" s="216"/>
      <c r="X215" s="216"/>
      <c r="Y215" s="216"/>
      <c r="Z215" s="216"/>
      <c r="AA215" s="216"/>
      <c r="AB215" s="216"/>
      <c r="AC215" s="216"/>
      <c r="AD215" s="216"/>
      <c r="AE215" s="216"/>
      <c r="AF215" s="216"/>
      <c r="AG215" s="216"/>
      <c r="AH215" s="216"/>
      <c r="AI215" s="216"/>
      <c r="AJ215" s="216"/>
      <c r="AK215" s="216"/>
      <c r="AL215" s="216"/>
      <c r="AM215" s="216"/>
      <c r="AN215" s="216"/>
    </row>
    <row r="216">
      <c r="B216" s="267"/>
      <c r="C216" s="266"/>
      <c r="D216" s="266"/>
      <c r="E216" s="266"/>
      <c r="F216" s="266"/>
      <c r="G216" s="266"/>
      <c r="H216" s="266"/>
      <c r="I216" s="266"/>
      <c r="J216" s="266"/>
      <c r="K216" s="266"/>
      <c r="L216" s="266"/>
      <c r="M216" s="266"/>
      <c r="N216" s="266"/>
      <c r="O216" s="266"/>
      <c r="P216" s="266"/>
      <c r="Q216" s="266"/>
      <c r="R216" s="266"/>
      <c r="S216" s="216"/>
      <c r="T216" s="216"/>
      <c r="U216" s="217"/>
      <c r="V216" s="216"/>
      <c r="W216" s="216"/>
      <c r="X216" s="216"/>
      <c r="Y216" s="216"/>
      <c r="Z216" s="216"/>
      <c r="AA216" s="216"/>
      <c r="AB216" s="216"/>
      <c r="AC216" s="216"/>
      <c r="AD216" s="216"/>
      <c r="AE216" s="216"/>
      <c r="AF216" s="216"/>
      <c r="AG216" s="216"/>
      <c r="AH216" s="216"/>
      <c r="AI216" s="216"/>
      <c r="AJ216" s="216"/>
      <c r="AK216" s="216"/>
      <c r="AL216" s="216"/>
      <c r="AM216" s="216"/>
      <c r="AN216" s="216"/>
    </row>
    <row r="217">
      <c r="B217" s="267"/>
      <c r="C217" s="266"/>
      <c r="D217" s="266"/>
      <c r="E217" s="266"/>
      <c r="F217" s="266"/>
      <c r="G217" s="266"/>
      <c r="H217" s="266"/>
      <c r="I217" s="266"/>
      <c r="J217" s="266"/>
      <c r="K217" s="266"/>
      <c r="L217" s="266"/>
      <c r="M217" s="266"/>
      <c r="N217" s="266"/>
      <c r="O217" s="266"/>
      <c r="P217" s="266"/>
      <c r="Q217" s="266"/>
      <c r="R217" s="266"/>
      <c r="S217" s="216"/>
      <c r="T217" s="216"/>
      <c r="U217" s="217"/>
      <c r="V217" s="216"/>
      <c r="W217" s="216"/>
      <c r="X217" s="216"/>
      <c r="Y217" s="216"/>
      <c r="Z217" s="216"/>
      <c r="AA217" s="216"/>
      <c r="AB217" s="216"/>
      <c r="AC217" s="216"/>
      <c r="AD217" s="216"/>
      <c r="AE217" s="216"/>
      <c r="AF217" s="216"/>
      <c r="AG217" s="216"/>
      <c r="AH217" s="216"/>
      <c r="AI217" s="216"/>
      <c r="AJ217" s="216"/>
      <c r="AK217" s="216"/>
      <c r="AL217" s="216"/>
      <c r="AM217" s="216"/>
      <c r="AN217" s="216"/>
    </row>
    <row r="218">
      <c r="B218" s="267"/>
      <c r="C218" s="266"/>
      <c r="D218" s="266"/>
      <c r="E218" s="266"/>
      <c r="F218" s="266"/>
      <c r="G218" s="266"/>
      <c r="H218" s="266"/>
      <c r="I218" s="266"/>
      <c r="J218" s="266"/>
      <c r="K218" s="266"/>
      <c r="L218" s="266"/>
      <c r="M218" s="266"/>
      <c r="N218" s="266"/>
      <c r="O218" s="266"/>
      <c r="P218" s="266"/>
      <c r="Q218" s="266"/>
      <c r="R218" s="266"/>
      <c r="S218" s="216"/>
      <c r="T218" s="216"/>
      <c r="U218" s="217"/>
      <c r="V218" s="216"/>
      <c r="W218" s="216"/>
      <c r="X218" s="216"/>
      <c r="Y218" s="216"/>
      <c r="Z218" s="216"/>
      <c r="AA218" s="216"/>
      <c r="AB218" s="216"/>
      <c r="AC218" s="216"/>
      <c r="AD218" s="216"/>
      <c r="AE218" s="216"/>
      <c r="AF218" s="216"/>
      <c r="AG218" s="216"/>
      <c r="AH218" s="216"/>
      <c r="AI218" s="216"/>
      <c r="AJ218" s="216"/>
      <c r="AK218" s="216"/>
      <c r="AL218" s="216"/>
      <c r="AM218" s="216"/>
      <c r="AN218" s="216"/>
    </row>
    <row r="219">
      <c r="B219" s="267"/>
      <c r="C219" s="266"/>
      <c r="D219" s="266"/>
      <c r="E219" s="266"/>
      <c r="F219" s="266"/>
      <c r="G219" s="266"/>
      <c r="H219" s="266"/>
      <c r="I219" s="266"/>
      <c r="J219" s="266"/>
      <c r="K219" s="266"/>
      <c r="L219" s="266"/>
      <c r="M219" s="266"/>
      <c r="N219" s="266"/>
      <c r="O219" s="266"/>
      <c r="P219" s="266"/>
      <c r="Q219" s="266"/>
      <c r="R219" s="266"/>
      <c r="S219" s="216"/>
      <c r="T219" s="216"/>
      <c r="U219" s="217"/>
      <c r="V219" s="216"/>
      <c r="W219" s="216"/>
      <c r="X219" s="216"/>
      <c r="Y219" s="216"/>
      <c r="Z219" s="216"/>
      <c r="AA219" s="216"/>
      <c r="AB219" s="216"/>
      <c r="AC219" s="216"/>
      <c r="AD219" s="216"/>
      <c r="AE219" s="216"/>
      <c r="AF219" s="216"/>
      <c r="AG219" s="216"/>
      <c r="AH219" s="216"/>
      <c r="AI219" s="216"/>
      <c r="AJ219" s="216"/>
      <c r="AK219" s="216"/>
      <c r="AL219" s="216"/>
      <c r="AM219" s="216"/>
      <c r="AN219" s="216"/>
    </row>
    <row r="220">
      <c r="B220" s="267"/>
      <c r="C220" s="266"/>
      <c r="D220" s="266"/>
      <c r="E220" s="266"/>
      <c r="F220" s="266"/>
      <c r="G220" s="266"/>
      <c r="H220" s="266"/>
      <c r="I220" s="266"/>
      <c r="J220" s="266"/>
      <c r="K220" s="266"/>
      <c r="L220" s="266"/>
      <c r="M220" s="266"/>
      <c r="N220" s="266"/>
      <c r="O220" s="266"/>
      <c r="P220" s="266"/>
      <c r="Q220" s="266"/>
      <c r="R220" s="266"/>
      <c r="S220" s="216"/>
      <c r="T220" s="216"/>
      <c r="U220" s="217"/>
      <c r="V220" s="216"/>
      <c r="W220" s="216"/>
      <c r="X220" s="216"/>
      <c r="Y220" s="216"/>
      <c r="Z220" s="216"/>
      <c r="AA220" s="216"/>
      <c r="AB220" s="216"/>
      <c r="AC220" s="216"/>
      <c r="AD220" s="216"/>
      <c r="AE220" s="216"/>
      <c r="AF220" s="216"/>
      <c r="AG220" s="216"/>
      <c r="AH220" s="216"/>
      <c r="AI220" s="216"/>
      <c r="AJ220" s="216"/>
      <c r="AK220" s="216"/>
      <c r="AL220" s="216"/>
      <c r="AM220" s="216"/>
      <c r="AN220" s="216"/>
    </row>
    <row r="221">
      <c r="B221" s="267"/>
      <c r="C221" s="266"/>
      <c r="D221" s="266"/>
      <c r="E221" s="266"/>
      <c r="F221" s="266"/>
      <c r="G221" s="266"/>
      <c r="H221" s="266"/>
      <c r="I221" s="266"/>
      <c r="J221" s="266"/>
      <c r="K221" s="266"/>
      <c r="L221" s="266"/>
      <c r="M221" s="266"/>
      <c r="N221" s="266"/>
      <c r="O221" s="266"/>
      <c r="P221" s="266"/>
      <c r="Q221" s="266"/>
      <c r="R221" s="266"/>
      <c r="S221" s="216"/>
      <c r="T221" s="216"/>
      <c r="U221" s="217"/>
      <c r="V221" s="216"/>
      <c r="W221" s="216"/>
      <c r="X221" s="216"/>
      <c r="Y221" s="216"/>
      <c r="Z221" s="216"/>
      <c r="AA221" s="216"/>
      <c r="AB221" s="216"/>
      <c r="AC221" s="216"/>
      <c r="AD221" s="216"/>
      <c r="AE221" s="216"/>
      <c r="AF221" s="216"/>
      <c r="AG221" s="216"/>
      <c r="AH221" s="216"/>
      <c r="AI221" s="216"/>
      <c r="AJ221" s="216"/>
      <c r="AK221" s="216"/>
      <c r="AL221" s="216"/>
      <c r="AM221" s="216"/>
      <c r="AN221" s="216"/>
    </row>
    <row r="222">
      <c r="B222" s="267"/>
      <c r="C222" s="266"/>
      <c r="D222" s="266"/>
      <c r="E222" s="266"/>
      <c r="F222" s="266"/>
      <c r="G222" s="266"/>
      <c r="H222" s="266"/>
      <c r="I222" s="266"/>
      <c r="J222" s="266"/>
      <c r="K222" s="266"/>
      <c r="L222" s="266"/>
      <c r="M222" s="266"/>
      <c r="N222" s="266"/>
      <c r="O222" s="266"/>
      <c r="P222" s="266"/>
      <c r="Q222" s="266"/>
      <c r="R222" s="266"/>
      <c r="S222" s="216"/>
      <c r="T222" s="216"/>
      <c r="U222" s="217"/>
      <c r="V222" s="216"/>
      <c r="W222" s="216"/>
      <c r="X222" s="216"/>
      <c r="Y222" s="216"/>
      <c r="Z222" s="216"/>
      <c r="AA222" s="216"/>
      <c r="AB222" s="216"/>
      <c r="AC222" s="216"/>
      <c r="AD222" s="216"/>
      <c r="AE222" s="216"/>
      <c r="AF222" s="216"/>
      <c r="AG222" s="216"/>
      <c r="AH222" s="216"/>
      <c r="AI222" s="216"/>
      <c r="AJ222" s="216"/>
      <c r="AK222" s="216"/>
      <c r="AL222" s="216"/>
      <c r="AM222" s="216"/>
      <c r="AN222" s="216"/>
    </row>
    <row r="223">
      <c r="B223" s="267"/>
      <c r="C223" s="266"/>
      <c r="D223" s="266"/>
      <c r="E223" s="266"/>
      <c r="F223" s="266"/>
      <c r="G223" s="266"/>
      <c r="H223" s="266"/>
      <c r="I223" s="266"/>
      <c r="J223" s="266"/>
      <c r="K223" s="266"/>
      <c r="L223" s="266"/>
      <c r="M223" s="266"/>
      <c r="N223" s="266"/>
      <c r="O223" s="266"/>
      <c r="P223" s="266"/>
      <c r="Q223" s="266"/>
      <c r="R223" s="266"/>
      <c r="S223" s="216"/>
      <c r="T223" s="216"/>
      <c r="U223" s="217"/>
      <c r="V223" s="216"/>
      <c r="W223" s="216"/>
      <c r="X223" s="216"/>
      <c r="Y223" s="216"/>
      <c r="Z223" s="216"/>
      <c r="AA223" s="216"/>
      <c r="AB223" s="216"/>
      <c r="AC223" s="216"/>
      <c r="AD223" s="216"/>
      <c r="AE223" s="216"/>
      <c r="AF223" s="216"/>
      <c r="AG223" s="216"/>
      <c r="AH223" s="216"/>
      <c r="AI223" s="216"/>
      <c r="AJ223" s="216"/>
      <c r="AK223" s="216"/>
      <c r="AL223" s="216"/>
      <c r="AM223" s="216"/>
      <c r="AN223" s="216"/>
    </row>
    <row r="224">
      <c r="B224" s="267"/>
      <c r="C224" s="266"/>
      <c r="D224" s="266"/>
      <c r="E224" s="266"/>
      <c r="F224" s="266"/>
      <c r="G224" s="266"/>
      <c r="H224" s="266"/>
      <c r="I224" s="266"/>
      <c r="J224" s="266"/>
      <c r="K224" s="266"/>
      <c r="L224" s="266"/>
      <c r="M224" s="266"/>
      <c r="N224" s="266"/>
      <c r="O224" s="266"/>
      <c r="P224" s="266"/>
      <c r="Q224" s="266"/>
      <c r="R224" s="266"/>
      <c r="S224" s="216"/>
      <c r="T224" s="216"/>
      <c r="U224" s="217"/>
      <c r="V224" s="216"/>
      <c r="W224" s="216"/>
      <c r="X224" s="216"/>
      <c r="Y224" s="216"/>
      <c r="Z224" s="216"/>
      <c r="AA224" s="216"/>
      <c r="AB224" s="216"/>
      <c r="AC224" s="216"/>
      <c r="AD224" s="216"/>
      <c r="AE224" s="216"/>
      <c r="AF224" s="216"/>
      <c r="AG224" s="216"/>
      <c r="AH224" s="216"/>
      <c r="AI224" s="216"/>
      <c r="AJ224" s="216"/>
      <c r="AK224" s="216"/>
      <c r="AL224" s="216"/>
      <c r="AM224" s="216"/>
      <c r="AN224" s="216"/>
    </row>
    <row r="225">
      <c r="B225" s="267"/>
      <c r="C225" s="266"/>
      <c r="D225" s="266"/>
      <c r="E225" s="266"/>
      <c r="F225" s="266"/>
      <c r="G225" s="266"/>
      <c r="H225" s="266"/>
      <c r="I225" s="266"/>
      <c r="J225" s="266"/>
      <c r="K225" s="266"/>
      <c r="L225" s="266"/>
      <c r="M225" s="266"/>
      <c r="N225" s="266"/>
      <c r="O225" s="266"/>
      <c r="P225" s="266"/>
      <c r="Q225" s="266"/>
      <c r="R225" s="266"/>
      <c r="S225" s="216"/>
      <c r="T225" s="216"/>
      <c r="U225" s="217"/>
      <c r="V225" s="216"/>
      <c r="W225" s="216"/>
      <c r="X225" s="216"/>
      <c r="Y225" s="216"/>
      <c r="Z225" s="216"/>
      <c r="AA225" s="216"/>
      <c r="AB225" s="216"/>
      <c r="AC225" s="216"/>
      <c r="AD225" s="216"/>
      <c r="AE225" s="216"/>
      <c r="AF225" s="216"/>
      <c r="AG225" s="216"/>
      <c r="AH225" s="216"/>
      <c r="AI225" s="216"/>
      <c r="AJ225" s="216"/>
      <c r="AK225" s="216"/>
      <c r="AL225" s="216"/>
      <c r="AM225" s="216"/>
      <c r="AN225" s="216"/>
    </row>
    <row r="226">
      <c r="B226" s="267"/>
      <c r="C226" s="266"/>
      <c r="D226" s="266"/>
      <c r="E226" s="266"/>
      <c r="F226" s="266"/>
      <c r="G226" s="266"/>
      <c r="H226" s="266"/>
      <c r="I226" s="266"/>
      <c r="J226" s="266"/>
      <c r="K226" s="266"/>
      <c r="L226" s="266"/>
      <c r="M226" s="266"/>
      <c r="N226" s="266"/>
      <c r="O226" s="266"/>
      <c r="P226" s="266"/>
      <c r="Q226" s="266"/>
      <c r="R226" s="266"/>
      <c r="S226" s="216"/>
      <c r="T226" s="216"/>
      <c r="U226" s="217"/>
      <c r="V226" s="216"/>
      <c r="W226" s="216"/>
      <c r="X226" s="216"/>
      <c r="Y226" s="216"/>
      <c r="Z226" s="216"/>
      <c r="AA226" s="216"/>
      <c r="AB226" s="216"/>
      <c r="AC226" s="216"/>
      <c r="AD226" s="216"/>
      <c r="AE226" s="216"/>
      <c r="AF226" s="216"/>
      <c r="AG226" s="216"/>
      <c r="AH226" s="216"/>
      <c r="AI226" s="216"/>
      <c r="AJ226" s="216"/>
      <c r="AK226" s="216"/>
      <c r="AL226" s="216"/>
      <c r="AM226" s="216"/>
      <c r="AN226" s="216"/>
    </row>
    <row r="227">
      <c r="B227" s="267"/>
      <c r="C227" s="266"/>
      <c r="D227" s="266"/>
      <c r="E227" s="266"/>
      <c r="F227" s="266"/>
      <c r="G227" s="266"/>
      <c r="H227" s="266"/>
      <c r="I227" s="266"/>
      <c r="J227" s="266"/>
      <c r="K227" s="266"/>
      <c r="L227" s="266"/>
      <c r="M227" s="266"/>
      <c r="N227" s="266"/>
      <c r="O227" s="266"/>
      <c r="P227" s="266"/>
      <c r="Q227" s="266"/>
      <c r="R227" s="266"/>
      <c r="S227" s="216"/>
      <c r="T227" s="216"/>
      <c r="U227" s="217"/>
      <c r="V227" s="216"/>
      <c r="W227" s="216"/>
      <c r="X227" s="216"/>
      <c r="Y227" s="216"/>
      <c r="Z227" s="216"/>
      <c r="AA227" s="216"/>
      <c r="AB227" s="216"/>
      <c r="AC227" s="216"/>
      <c r="AD227" s="216"/>
      <c r="AE227" s="216"/>
      <c r="AF227" s="216"/>
      <c r="AG227" s="216"/>
      <c r="AH227" s="216"/>
      <c r="AI227" s="216"/>
      <c r="AJ227" s="216"/>
      <c r="AK227" s="216"/>
      <c r="AL227" s="216"/>
      <c r="AM227" s="216"/>
      <c r="AN227" s="216"/>
    </row>
    <row r="228">
      <c r="B228" s="267"/>
      <c r="C228" s="266"/>
      <c r="D228" s="266"/>
      <c r="E228" s="266"/>
      <c r="F228" s="266"/>
      <c r="G228" s="266"/>
      <c r="H228" s="266"/>
      <c r="I228" s="266"/>
      <c r="J228" s="266"/>
      <c r="K228" s="266"/>
      <c r="L228" s="266"/>
      <c r="M228" s="266"/>
      <c r="N228" s="266"/>
      <c r="O228" s="266"/>
      <c r="P228" s="266"/>
      <c r="Q228" s="266"/>
      <c r="R228" s="266"/>
      <c r="S228" s="216"/>
      <c r="T228" s="216"/>
      <c r="U228" s="217"/>
      <c r="V228" s="216"/>
      <c r="W228" s="216"/>
      <c r="X228" s="216"/>
      <c r="Y228" s="216"/>
      <c r="Z228" s="216"/>
      <c r="AA228" s="216"/>
      <c r="AB228" s="216"/>
      <c r="AC228" s="216"/>
      <c r="AD228" s="216"/>
      <c r="AE228" s="216"/>
      <c r="AF228" s="216"/>
      <c r="AG228" s="216"/>
      <c r="AH228" s="216"/>
      <c r="AI228" s="216"/>
      <c r="AJ228" s="216"/>
      <c r="AK228" s="216"/>
      <c r="AL228" s="216"/>
      <c r="AM228" s="216"/>
      <c r="AN228" s="216"/>
    </row>
    <row r="229">
      <c r="B229" s="267"/>
      <c r="C229" s="266"/>
      <c r="D229" s="266"/>
      <c r="E229" s="266"/>
      <c r="F229" s="266"/>
      <c r="G229" s="266"/>
      <c r="H229" s="266"/>
      <c r="I229" s="266"/>
      <c r="J229" s="266"/>
      <c r="K229" s="266"/>
      <c r="L229" s="266"/>
      <c r="M229" s="266"/>
      <c r="N229" s="266"/>
      <c r="O229" s="266"/>
      <c r="P229" s="266"/>
      <c r="Q229" s="266"/>
      <c r="R229" s="266"/>
      <c r="S229" s="216"/>
      <c r="T229" s="216"/>
      <c r="U229" s="217"/>
      <c r="V229" s="216"/>
      <c r="W229" s="216"/>
      <c r="X229" s="216"/>
      <c r="Y229" s="216"/>
      <c r="Z229" s="216"/>
      <c r="AA229" s="216"/>
      <c r="AB229" s="216"/>
      <c r="AC229" s="216"/>
      <c r="AD229" s="216"/>
      <c r="AE229" s="216"/>
      <c r="AF229" s="216"/>
      <c r="AG229" s="216"/>
      <c r="AH229" s="216"/>
      <c r="AI229" s="216"/>
      <c r="AJ229" s="216"/>
      <c r="AK229" s="216"/>
      <c r="AL229" s="216"/>
      <c r="AM229" s="216"/>
      <c r="AN229" s="216"/>
    </row>
    <row r="230">
      <c r="B230" s="267"/>
      <c r="C230" s="266"/>
      <c r="D230" s="266"/>
      <c r="E230" s="266"/>
      <c r="F230" s="266"/>
      <c r="G230" s="266"/>
      <c r="H230" s="266"/>
      <c r="I230" s="266"/>
      <c r="J230" s="266"/>
      <c r="K230" s="266"/>
      <c r="L230" s="266"/>
      <c r="M230" s="266"/>
      <c r="N230" s="266"/>
      <c r="O230" s="266"/>
      <c r="P230" s="266"/>
      <c r="Q230" s="266"/>
      <c r="R230" s="266"/>
      <c r="S230" s="216"/>
      <c r="T230" s="216"/>
      <c r="U230" s="217"/>
      <c r="V230" s="216"/>
      <c r="W230" s="216"/>
      <c r="X230" s="216"/>
      <c r="Y230" s="216"/>
      <c r="Z230" s="216"/>
      <c r="AA230" s="216"/>
      <c r="AB230" s="216"/>
      <c r="AC230" s="216"/>
      <c r="AD230" s="216"/>
      <c r="AE230" s="216"/>
      <c r="AF230" s="216"/>
      <c r="AG230" s="216"/>
      <c r="AH230" s="216"/>
      <c r="AI230" s="216"/>
      <c r="AJ230" s="216"/>
      <c r="AK230" s="216"/>
      <c r="AL230" s="216"/>
      <c r="AM230" s="216"/>
      <c r="AN230" s="216"/>
    </row>
    <row r="231">
      <c r="B231" s="267"/>
      <c r="C231" s="266"/>
      <c r="D231" s="266"/>
      <c r="E231" s="266"/>
      <c r="F231" s="266"/>
      <c r="G231" s="266"/>
      <c r="H231" s="266"/>
      <c r="I231" s="266"/>
      <c r="J231" s="266"/>
      <c r="K231" s="266"/>
      <c r="L231" s="266"/>
      <c r="M231" s="266"/>
      <c r="N231" s="266"/>
      <c r="O231" s="266"/>
      <c r="P231" s="266"/>
      <c r="Q231" s="266"/>
      <c r="R231" s="266"/>
      <c r="S231" s="216"/>
      <c r="T231" s="216"/>
      <c r="U231" s="217"/>
      <c r="V231" s="216"/>
      <c r="W231" s="216"/>
      <c r="X231" s="216"/>
      <c r="Y231" s="216"/>
      <c r="Z231" s="216"/>
      <c r="AA231" s="216"/>
      <c r="AB231" s="216"/>
      <c r="AC231" s="216"/>
      <c r="AD231" s="216"/>
      <c r="AE231" s="216"/>
      <c r="AF231" s="216"/>
      <c r="AG231" s="216"/>
      <c r="AH231" s="216"/>
      <c r="AI231" s="216"/>
      <c r="AJ231" s="216"/>
      <c r="AK231" s="216"/>
      <c r="AL231" s="216"/>
      <c r="AM231" s="216"/>
      <c r="AN231" s="216"/>
    </row>
    <row r="232">
      <c r="B232" s="267"/>
      <c r="C232" s="266"/>
      <c r="D232" s="266"/>
      <c r="E232" s="266"/>
      <c r="F232" s="266"/>
      <c r="G232" s="266"/>
      <c r="H232" s="266"/>
      <c r="I232" s="266"/>
      <c r="J232" s="266"/>
      <c r="K232" s="266"/>
      <c r="L232" s="266"/>
      <c r="M232" s="266"/>
      <c r="N232" s="266"/>
      <c r="O232" s="266"/>
      <c r="P232" s="266"/>
      <c r="Q232" s="266"/>
      <c r="R232" s="266"/>
      <c r="S232" s="216"/>
      <c r="T232" s="216"/>
      <c r="U232" s="217"/>
      <c r="V232" s="216"/>
      <c r="W232" s="216"/>
      <c r="X232" s="216"/>
      <c r="Y232" s="216"/>
      <c r="Z232" s="216"/>
      <c r="AA232" s="216"/>
      <c r="AB232" s="216"/>
      <c r="AC232" s="216"/>
      <c r="AD232" s="216"/>
      <c r="AE232" s="216"/>
      <c r="AF232" s="216"/>
      <c r="AG232" s="216"/>
      <c r="AH232" s="216"/>
      <c r="AI232" s="216"/>
      <c r="AJ232" s="216"/>
      <c r="AK232" s="216"/>
      <c r="AL232" s="216"/>
      <c r="AM232" s="216"/>
      <c r="AN232" s="216"/>
    </row>
    <row r="233">
      <c r="B233" s="267"/>
      <c r="C233" s="266"/>
      <c r="D233" s="266"/>
      <c r="E233" s="266"/>
      <c r="F233" s="266"/>
      <c r="G233" s="266"/>
      <c r="H233" s="266"/>
      <c r="I233" s="266"/>
      <c r="J233" s="266"/>
      <c r="K233" s="266"/>
      <c r="L233" s="266"/>
      <c r="M233" s="266"/>
      <c r="N233" s="266"/>
      <c r="O233" s="266"/>
      <c r="P233" s="266"/>
      <c r="Q233" s="266"/>
      <c r="R233" s="266"/>
      <c r="S233" s="216"/>
      <c r="T233" s="216"/>
      <c r="U233" s="217"/>
      <c r="V233" s="216"/>
      <c r="W233" s="216"/>
      <c r="X233" s="216"/>
      <c r="Y233" s="216"/>
      <c r="Z233" s="216"/>
      <c r="AA233" s="216"/>
      <c r="AB233" s="216"/>
      <c r="AC233" s="216"/>
      <c r="AD233" s="216"/>
      <c r="AE233" s="216"/>
      <c r="AF233" s="216"/>
      <c r="AG233" s="216"/>
      <c r="AH233" s="216"/>
      <c r="AI233" s="216"/>
      <c r="AJ233" s="216"/>
      <c r="AK233" s="216"/>
      <c r="AL233" s="216"/>
      <c r="AM233" s="216"/>
      <c r="AN233" s="216"/>
    </row>
    <row r="234">
      <c r="B234" s="267"/>
      <c r="C234" s="266"/>
      <c r="D234" s="266"/>
      <c r="E234" s="266"/>
      <c r="F234" s="266"/>
      <c r="G234" s="266"/>
      <c r="H234" s="266"/>
      <c r="I234" s="266"/>
      <c r="J234" s="266"/>
      <c r="K234" s="266"/>
      <c r="L234" s="266"/>
      <c r="M234" s="266"/>
      <c r="N234" s="266"/>
      <c r="O234" s="266"/>
      <c r="P234" s="266"/>
      <c r="Q234" s="266"/>
      <c r="R234" s="266"/>
      <c r="S234" s="216"/>
      <c r="T234" s="216"/>
      <c r="U234" s="217"/>
      <c r="V234" s="216"/>
      <c r="W234" s="216"/>
      <c r="X234" s="216"/>
      <c r="Y234" s="216"/>
      <c r="Z234" s="216"/>
      <c r="AA234" s="216"/>
      <c r="AB234" s="216"/>
      <c r="AC234" s="216"/>
      <c r="AD234" s="216"/>
      <c r="AE234" s="216"/>
      <c r="AF234" s="216"/>
      <c r="AG234" s="216"/>
      <c r="AH234" s="216"/>
      <c r="AI234" s="216"/>
      <c r="AJ234" s="216"/>
      <c r="AK234" s="216"/>
      <c r="AL234" s="216"/>
      <c r="AM234" s="216"/>
      <c r="AN234" s="216"/>
    </row>
    <row r="235">
      <c r="B235" s="267"/>
      <c r="C235" s="266"/>
      <c r="D235" s="266"/>
      <c r="E235" s="266"/>
      <c r="F235" s="266"/>
      <c r="G235" s="266"/>
      <c r="H235" s="266"/>
      <c r="I235" s="266"/>
      <c r="J235" s="266"/>
      <c r="K235" s="266"/>
      <c r="L235" s="266"/>
      <c r="M235" s="266"/>
      <c r="N235" s="266"/>
      <c r="O235" s="266"/>
      <c r="P235" s="266"/>
      <c r="Q235" s="266"/>
      <c r="R235" s="266"/>
      <c r="S235" s="216"/>
      <c r="T235" s="216"/>
      <c r="U235" s="217"/>
      <c r="V235" s="216"/>
      <c r="W235" s="216"/>
      <c r="X235" s="216"/>
      <c r="Y235" s="216"/>
      <c r="Z235" s="216"/>
      <c r="AA235" s="216"/>
      <c r="AB235" s="216"/>
      <c r="AC235" s="216"/>
      <c r="AD235" s="216"/>
      <c r="AE235" s="216"/>
      <c r="AF235" s="216"/>
      <c r="AG235" s="216"/>
      <c r="AH235" s="216"/>
      <c r="AI235" s="216"/>
      <c r="AJ235" s="216"/>
      <c r="AK235" s="216"/>
      <c r="AL235" s="216"/>
      <c r="AM235" s="216"/>
      <c r="AN235" s="216"/>
    </row>
    <row r="236">
      <c r="B236" s="267"/>
      <c r="C236" s="266"/>
      <c r="D236" s="266"/>
      <c r="E236" s="266"/>
      <c r="F236" s="266"/>
      <c r="G236" s="266"/>
      <c r="H236" s="266"/>
      <c r="I236" s="266"/>
      <c r="J236" s="266"/>
      <c r="K236" s="266"/>
      <c r="L236" s="266"/>
      <c r="M236" s="266"/>
      <c r="N236" s="266"/>
      <c r="O236" s="266"/>
      <c r="P236" s="266"/>
      <c r="Q236" s="266"/>
      <c r="R236" s="266"/>
      <c r="S236" s="216"/>
      <c r="T236" s="216"/>
      <c r="U236" s="217"/>
      <c r="V236" s="216"/>
      <c r="W236" s="216"/>
      <c r="X236" s="216"/>
      <c r="Y236" s="216"/>
      <c r="Z236" s="216"/>
      <c r="AA236" s="216"/>
      <c r="AB236" s="216"/>
      <c r="AC236" s="216"/>
      <c r="AD236" s="216"/>
      <c r="AE236" s="216"/>
      <c r="AF236" s="216"/>
      <c r="AG236" s="216"/>
      <c r="AH236" s="216"/>
      <c r="AI236" s="216"/>
      <c r="AJ236" s="216"/>
      <c r="AK236" s="216"/>
      <c r="AL236" s="216"/>
      <c r="AM236" s="216"/>
      <c r="AN236" s="216"/>
    </row>
    <row r="237">
      <c r="B237" s="267"/>
      <c r="C237" s="266"/>
      <c r="D237" s="266"/>
      <c r="E237" s="266"/>
      <c r="F237" s="266"/>
      <c r="G237" s="266"/>
      <c r="H237" s="266"/>
      <c r="I237" s="266"/>
      <c r="J237" s="266"/>
      <c r="K237" s="266"/>
      <c r="L237" s="266"/>
      <c r="M237" s="266"/>
      <c r="N237" s="266"/>
      <c r="O237" s="266"/>
      <c r="P237" s="266"/>
      <c r="Q237" s="266"/>
      <c r="R237" s="266"/>
      <c r="S237" s="216"/>
      <c r="T237" s="216"/>
      <c r="U237" s="217"/>
      <c r="V237" s="216"/>
      <c r="W237" s="216"/>
      <c r="X237" s="216"/>
      <c r="Y237" s="216"/>
      <c r="Z237" s="216"/>
      <c r="AA237" s="216"/>
      <c r="AB237" s="216"/>
      <c r="AC237" s="216"/>
      <c r="AD237" s="216"/>
      <c r="AE237" s="216"/>
      <c r="AF237" s="216"/>
      <c r="AG237" s="216"/>
      <c r="AH237" s="216"/>
      <c r="AI237" s="216"/>
      <c r="AJ237" s="216"/>
      <c r="AK237" s="216"/>
      <c r="AL237" s="216"/>
      <c r="AM237" s="216"/>
      <c r="AN237" s="216"/>
    </row>
    <row r="238">
      <c r="B238" s="267"/>
      <c r="C238" s="266"/>
      <c r="D238" s="266"/>
      <c r="E238" s="266"/>
      <c r="F238" s="266"/>
      <c r="G238" s="266"/>
      <c r="H238" s="266"/>
      <c r="I238" s="266"/>
      <c r="J238" s="266"/>
      <c r="K238" s="266"/>
      <c r="L238" s="266"/>
      <c r="M238" s="266"/>
      <c r="N238" s="266"/>
      <c r="O238" s="266"/>
      <c r="P238" s="266"/>
      <c r="Q238" s="266"/>
      <c r="R238" s="266"/>
      <c r="S238" s="216"/>
      <c r="T238" s="216"/>
      <c r="U238" s="217"/>
      <c r="V238" s="216"/>
      <c r="W238" s="216"/>
      <c r="X238" s="216"/>
      <c r="Y238" s="216"/>
      <c r="Z238" s="216"/>
      <c r="AA238" s="216"/>
      <c r="AB238" s="216"/>
      <c r="AC238" s="216"/>
      <c r="AD238" s="216"/>
      <c r="AE238" s="216"/>
      <c r="AF238" s="216"/>
      <c r="AG238" s="216"/>
      <c r="AH238" s="216"/>
      <c r="AI238" s="216"/>
      <c r="AJ238" s="216"/>
      <c r="AK238" s="216"/>
      <c r="AL238" s="216"/>
      <c r="AM238" s="216"/>
      <c r="AN238" s="216"/>
    </row>
    <row r="239">
      <c r="B239" s="267"/>
      <c r="C239" s="266"/>
      <c r="D239" s="266"/>
      <c r="E239" s="266"/>
      <c r="F239" s="266"/>
      <c r="G239" s="266"/>
      <c r="H239" s="266"/>
      <c r="I239" s="266"/>
      <c r="J239" s="266"/>
      <c r="K239" s="266"/>
      <c r="L239" s="266"/>
      <c r="M239" s="266"/>
      <c r="N239" s="266"/>
      <c r="O239" s="266"/>
      <c r="P239" s="266"/>
      <c r="Q239" s="266"/>
      <c r="R239" s="266"/>
      <c r="S239" s="216"/>
      <c r="T239" s="216"/>
      <c r="U239" s="217"/>
      <c r="V239" s="216"/>
      <c r="W239" s="216"/>
      <c r="X239" s="216"/>
      <c r="Y239" s="216"/>
      <c r="Z239" s="216"/>
      <c r="AA239" s="216"/>
      <c r="AB239" s="216"/>
      <c r="AC239" s="216"/>
      <c r="AD239" s="216"/>
      <c r="AE239" s="216"/>
      <c r="AF239" s="216"/>
      <c r="AG239" s="216"/>
      <c r="AH239" s="216"/>
      <c r="AI239" s="216"/>
      <c r="AJ239" s="216"/>
      <c r="AK239" s="216"/>
      <c r="AL239" s="216"/>
      <c r="AM239" s="216"/>
      <c r="AN239" s="216"/>
    </row>
    <row r="240">
      <c r="B240" s="267"/>
      <c r="C240" s="266"/>
      <c r="D240" s="266"/>
      <c r="E240" s="266"/>
      <c r="F240" s="266"/>
      <c r="G240" s="266"/>
      <c r="H240" s="266"/>
      <c r="I240" s="266"/>
      <c r="J240" s="266"/>
      <c r="K240" s="266"/>
      <c r="L240" s="266"/>
      <c r="M240" s="266"/>
      <c r="N240" s="266"/>
      <c r="O240" s="266"/>
      <c r="P240" s="266"/>
      <c r="Q240" s="266"/>
      <c r="R240" s="266"/>
      <c r="S240" s="216"/>
      <c r="T240" s="216"/>
      <c r="U240" s="217"/>
      <c r="V240" s="216"/>
      <c r="W240" s="216"/>
      <c r="X240" s="216"/>
      <c r="Y240" s="216"/>
      <c r="Z240" s="216"/>
      <c r="AA240" s="216"/>
      <c r="AB240" s="216"/>
      <c r="AC240" s="216"/>
      <c r="AD240" s="216"/>
      <c r="AE240" s="216"/>
      <c r="AF240" s="216"/>
      <c r="AG240" s="216"/>
      <c r="AH240" s="216"/>
      <c r="AI240" s="216"/>
      <c r="AJ240" s="216"/>
      <c r="AK240" s="216"/>
      <c r="AL240" s="216"/>
      <c r="AM240" s="216"/>
      <c r="AN240" s="216"/>
    </row>
    <row r="241">
      <c r="B241" s="267"/>
      <c r="C241" s="266"/>
      <c r="D241" s="266"/>
      <c r="E241" s="266"/>
      <c r="F241" s="266"/>
      <c r="G241" s="266"/>
      <c r="H241" s="266"/>
      <c r="I241" s="266"/>
      <c r="J241" s="266"/>
      <c r="K241" s="266"/>
      <c r="L241" s="266"/>
      <c r="M241" s="266"/>
      <c r="N241" s="266"/>
      <c r="O241" s="266"/>
      <c r="P241" s="266"/>
      <c r="Q241" s="266"/>
      <c r="R241" s="266"/>
      <c r="S241" s="216"/>
      <c r="T241" s="216"/>
      <c r="U241" s="217"/>
      <c r="V241" s="216"/>
      <c r="W241" s="216"/>
      <c r="X241" s="216"/>
      <c r="Y241" s="216"/>
      <c r="Z241" s="216"/>
      <c r="AA241" s="216"/>
      <c r="AB241" s="216"/>
      <c r="AC241" s="216"/>
      <c r="AD241" s="216"/>
      <c r="AE241" s="216"/>
      <c r="AF241" s="216"/>
      <c r="AG241" s="216"/>
      <c r="AH241" s="216"/>
      <c r="AI241" s="216"/>
      <c r="AJ241" s="216"/>
      <c r="AK241" s="216"/>
      <c r="AL241" s="216"/>
      <c r="AM241" s="216"/>
      <c r="AN241" s="216"/>
    </row>
    <row r="242">
      <c r="B242" s="267"/>
      <c r="C242" s="266"/>
      <c r="D242" s="266"/>
      <c r="E242" s="266"/>
      <c r="F242" s="266"/>
      <c r="G242" s="266"/>
      <c r="H242" s="266"/>
      <c r="I242" s="266"/>
      <c r="J242" s="266"/>
      <c r="K242" s="266"/>
      <c r="L242" s="266"/>
      <c r="M242" s="266"/>
      <c r="N242" s="266"/>
      <c r="O242" s="266"/>
      <c r="P242" s="266"/>
      <c r="Q242" s="266"/>
      <c r="R242" s="266"/>
      <c r="S242" s="216"/>
      <c r="T242" s="216"/>
      <c r="U242" s="217"/>
      <c r="V242" s="216"/>
      <c r="W242" s="216"/>
      <c r="X242" s="216"/>
      <c r="Y242" s="216"/>
      <c r="Z242" s="216"/>
      <c r="AA242" s="216"/>
      <c r="AB242" s="216"/>
      <c r="AC242" s="216"/>
      <c r="AD242" s="216"/>
      <c r="AE242" s="216"/>
      <c r="AF242" s="216"/>
      <c r="AG242" s="216"/>
      <c r="AH242" s="216"/>
      <c r="AI242" s="216"/>
      <c r="AJ242" s="216"/>
      <c r="AK242" s="216"/>
      <c r="AL242" s="216"/>
      <c r="AM242" s="216"/>
      <c r="AN242" s="216"/>
    </row>
    <row r="243">
      <c r="B243" s="267"/>
      <c r="C243" s="266"/>
      <c r="D243" s="266"/>
      <c r="E243" s="266"/>
      <c r="F243" s="266"/>
      <c r="G243" s="266"/>
      <c r="H243" s="266"/>
      <c r="I243" s="266"/>
      <c r="J243" s="266"/>
      <c r="K243" s="266"/>
      <c r="L243" s="266"/>
      <c r="M243" s="266"/>
      <c r="N243" s="266"/>
      <c r="O243" s="266"/>
      <c r="P243" s="266"/>
      <c r="Q243" s="266"/>
      <c r="R243" s="266"/>
      <c r="S243" s="216"/>
      <c r="T243" s="216"/>
      <c r="U243" s="217"/>
      <c r="V243" s="216"/>
      <c r="W243" s="216"/>
      <c r="X243" s="216"/>
      <c r="Y243" s="216"/>
      <c r="Z243" s="216"/>
      <c r="AA243" s="216"/>
      <c r="AB243" s="216"/>
      <c r="AC243" s="216"/>
      <c r="AD243" s="216"/>
      <c r="AE243" s="216"/>
      <c r="AF243" s="216"/>
      <c r="AG243" s="216"/>
      <c r="AH243" s="216"/>
      <c r="AI243" s="216"/>
      <c r="AJ243" s="216"/>
      <c r="AK243" s="216"/>
      <c r="AL243" s="216"/>
      <c r="AM243" s="216"/>
      <c r="AN243" s="216"/>
    </row>
    <row r="244">
      <c r="B244" s="267"/>
      <c r="C244" s="266"/>
      <c r="D244" s="266"/>
      <c r="E244" s="266"/>
      <c r="F244" s="266"/>
      <c r="G244" s="266"/>
      <c r="H244" s="266"/>
      <c r="I244" s="266"/>
      <c r="J244" s="266"/>
      <c r="K244" s="266"/>
      <c r="L244" s="266"/>
      <c r="M244" s="266"/>
      <c r="N244" s="266"/>
      <c r="O244" s="266"/>
      <c r="P244" s="266"/>
      <c r="Q244" s="266"/>
      <c r="R244" s="266"/>
      <c r="S244" s="216"/>
      <c r="T244" s="216"/>
      <c r="U244" s="217"/>
      <c r="V244" s="216"/>
      <c r="W244" s="216"/>
      <c r="X244" s="216"/>
      <c r="Y244" s="216"/>
      <c r="Z244" s="216"/>
      <c r="AA244" s="216"/>
      <c r="AB244" s="216"/>
      <c r="AC244" s="216"/>
      <c r="AD244" s="216"/>
      <c r="AE244" s="216"/>
      <c r="AF244" s="216"/>
      <c r="AG244" s="216"/>
      <c r="AH244" s="216"/>
      <c r="AI244" s="216"/>
      <c r="AJ244" s="216"/>
      <c r="AK244" s="216"/>
      <c r="AL244" s="216"/>
      <c r="AM244" s="216"/>
      <c r="AN244" s="216"/>
    </row>
    <row r="245">
      <c r="B245" s="267"/>
      <c r="C245" s="266"/>
      <c r="D245" s="266"/>
      <c r="E245" s="266"/>
      <c r="F245" s="266"/>
      <c r="G245" s="266"/>
      <c r="H245" s="266"/>
      <c r="I245" s="266"/>
      <c r="J245" s="266"/>
      <c r="K245" s="266"/>
      <c r="L245" s="266"/>
      <c r="M245" s="266"/>
      <c r="N245" s="266"/>
      <c r="O245" s="266"/>
      <c r="P245" s="266"/>
      <c r="Q245" s="266"/>
      <c r="R245" s="266"/>
      <c r="S245" s="216"/>
      <c r="T245" s="216"/>
      <c r="U245" s="217"/>
      <c r="V245" s="216"/>
      <c r="W245" s="216"/>
      <c r="X245" s="216"/>
      <c r="Y245" s="216"/>
      <c r="Z245" s="216"/>
      <c r="AA245" s="216"/>
      <c r="AB245" s="216"/>
      <c r="AC245" s="216"/>
      <c r="AD245" s="216"/>
      <c r="AE245" s="216"/>
      <c r="AF245" s="216"/>
      <c r="AG245" s="216"/>
      <c r="AH245" s="216"/>
      <c r="AI245" s="216"/>
      <c r="AJ245" s="216"/>
      <c r="AK245" s="216"/>
      <c r="AL245" s="216"/>
      <c r="AM245" s="216"/>
      <c r="AN245" s="216"/>
    </row>
    <row r="246">
      <c r="B246" s="267"/>
      <c r="C246" s="266"/>
      <c r="D246" s="266"/>
      <c r="E246" s="266"/>
      <c r="F246" s="266"/>
      <c r="G246" s="266"/>
      <c r="H246" s="266"/>
      <c r="I246" s="266"/>
      <c r="J246" s="266"/>
      <c r="K246" s="266"/>
      <c r="L246" s="266"/>
      <c r="M246" s="266"/>
      <c r="N246" s="266"/>
      <c r="O246" s="266"/>
      <c r="P246" s="266"/>
      <c r="Q246" s="266"/>
      <c r="R246" s="266"/>
      <c r="S246" s="216"/>
      <c r="T246" s="216"/>
      <c r="U246" s="217"/>
      <c r="V246" s="216"/>
      <c r="W246" s="216"/>
      <c r="X246" s="216"/>
      <c r="Y246" s="216"/>
      <c r="Z246" s="216"/>
      <c r="AA246" s="216"/>
      <c r="AB246" s="216"/>
      <c r="AC246" s="216"/>
      <c r="AD246" s="216"/>
      <c r="AE246" s="216"/>
      <c r="AF246" s="216"/>
      <c r="AG246" s="216"/>
      <c r="AH246" s="216"/>
      <c r="AI246" s="216"/>
      <c r="AJ246" s="216"/>
      <c r="AK246" s="216"/>
      <c r="AL246" s="216"/>
      <c r="AM246" s="216"/>
      <c r="AN246" s="216"/>
    </row>
    <row r="247">
      <c r="B247" s="267"/>
      <c r="C247" s="266"/>
      <c r="D247" s="266"/>
      <c r="E247" s="266"/>
      <c r="F247" s="266"/>
      <c r="G247" s="266"/>
      <c r="H247" s="266"/>
      <c r="I247" s="266"/>
      <c r="J247" s="266"/>
      <c r="K247" s="266"/>
      <c r="L247" s="266"/>
      <c r="M247" s="266"/>
      <c r="N247" s="266"/>
      <c r="O247" s="266"/>
      <c r="P247" s="266"/>
      <c r="Q247" s="266"/>
      <c r="R247" s="266"/>
      <c r="S247" s="216"/>
      <c r="T247" s="216"/>
      <c r="U247" s="217"/>
      <c r="V247" s="216"/>
      <c r="W247" s="216"/>
      <c r="X247" s="216"/>
      <c r="Y247" s="216"/>
      <c r="Z247" s="216"/>
      <c r="AA247" s="216"/>
      <c r="AB247" s="216"/>
      <c r="AC247" s="216"/>
      <c r="AD247" s="216"/>
      <c r="AE247" s="216"/>
      <c r="AF247" s="216"/>
      <c r="AG247" s="216"/>
      <c r="AH247" s="216"/>
      <c r="AI247" s="216"/>
      <c r="AJ247" s="216"/>
      <c r="AK247" s="216"/>
      <c r="AL247" s="216"/>
      <c r="AM247" s="216"/>
      <c r="AN247" s="216"/>
    </row>
    <row r="248">
      <c r="B248" s="267"/>
      <c r="C248" s="266"/>
      <c r="D248" s="266"/>
      <c r="E248" s="266"/>
      <c r="F248" s="266"/>
      <c r="G248" s="266"/>
      <c r="H248" s="266"/>
      <c r="I248" s="266"/>
      <c r="J248" s="266"/>
      <c r="K248" s="266"/>
      <c r="L248" s="266"/>
      <c r="M248" s="266"/>
      <c r="N248" s="266"/>
      <c r="O248" s="266"/>
      <c r="P248" s="266"/>
      <c r="Q248" s="266"/>
      <c r="R248" s="266"/>
      <c r="S248" s="216"/>
      <c r="T248" s="216"/>
      <c r="U248" s="217"/>
      <c r="V248" s="216"/>
      <c r="W248" s="216"/>
      <c r="X248" s="216"/>
      <c r="Y248" s="216"/>
      <c r="Z248" s="216"/>
      <c r="AA248" s="216"/>
      <c r="AB248" s="216"/>
      <c r="AC248" s="216"/>
      <c r="AD248" s="216"/>
      <c r="AE248" s="216"/>
      <c r="AF248" s="216"/>
      <c r="AG248" s="216"/>
      <c r="AH248" s="216"/>
      <c r="AI248" s="216"/>
      <c r="AJ248" s="216"/>
      <c r="AK248" s="216"/>
      <c r="AL248" s="216"/>
      <c r="AM248" s="216"/>
      <c r="AN248" s="216"/>
    </row>
    <row r="249">
      <c r="B249" s="267"/>
      <c r="C249" s="266"/>
      <c r="D249" s="266"/>
      <c r="E249" s="266"/>
      <c r="F249" s="266"/>
      <c r="G249" s="266"/>
      <c r="H249" s="266"/>
      <c r="I249" s="266"/>
      <c r="J249" s="266"/>
      <c r="K249" s="266"/>
      <c r="L249" s="266"/>
      <c r="M249" s="266"/>
      <c r="N249" s="266"/>
      <c r="O249" s="266"/>
      <c r="P249" s="266"/>
      <c r="Q249" s="266"/>
      <c r="R249" s="266"/>
      <c r="S249" s="216"/>
      <c r="T249" s="216"/>
      <c r="U249" s="217"/>
      <c r="V249" s="216"/>
      <c r="W249" s="216"/>
      <c r="X249" s="216"/>
      <c r="Y249" s="216"/>
      <c r="Z249" s="216"/>
      <c r="AA249" s="216"/>
      <c r="AB249" s="216"/>
      <c r="AC249" s="216"/>
      <c r="AD249" s="216"/>
      <c r="AE249" s="216"/>
      <c r="AF249" s="216"/>
      <c r="AG249" s="216"/>
      <c r="AH249" s="216"/>
      <c r="AI249" s="216"/>
      <c r="AJ249" s="216"/>
      <c r="AK249" s="216"/>
      <c r="AL249" s="216"/>
      <c r="AM249" s="216"/>
      <c r="AN249" s="216"/>
    </row>
    <row r="250">
      <c r="B250" s="267"/>
      <c r="C250" s="266"/>
      <c r="D250" s="266"/>
      <c r="E250" s="266"/>
      <c r="F250" s="266"/>
      <c r="G250" s="266"/>
      <c r="H250" s="266"/>
      <c r="I250" s="266"/>
      <c r="J250" s="266"/>
      <c r="K250" s="266"/>
      <c r="L250" s="266"/>
      <c r="M250" s="266"/>
      <c r="N250" s="266"/>
      <c r="O250" s="266"/>
      <c r="P250" s="266"/>
      <c r="Q250" s="266"/>
      <c r="R250" s="266"/>
      <c r="S250" s="216"/>
      <c r="T250" s="216"/>
      <c r="U250" s="217"/>
      <c r="V250" s="216"/>
      <c r="W250" s="216"/>
      <c r="X250" s="216"/>
      <c r="Y250" s="216"/>
      <c r="Z250" s="216"/>
      <c r="AA250" s="216"/>
      <c r="AB250" s="216"/>
      <c r="AC250" s="216"/>
      <c r="AD250" s="216"/>
      <c r="AE250" s="216"/>
      <c r="AF250" s="216"/>
      <c r="AG250" s="216"/>
      <c r="AH250" s="216"/>
      <c r="AI250" s="216"/>
      <c r="AJ250" s="216"/>
      <c r="AK250" s="216"/>
      <c r="AL250" s="216"/>
      <c r="AM250" s="216"/>
      <c r="AN250" s="216"/>
    </row>
    <row r="251">
      <c r="B251" s="267"/>
      <c r="C251" s="266"/>
      <c r="D251" s="266"/>
      <c r="E251" s="266"/>
      <c r="F251" s="266"/>
      <c r="G251" s="266"/>
      <c r="H251" s="266"/>
      <c r="I251" s="266"/>
      <c r="J251" s="266"/>
      <c r="K251" s="266"/>
      <c r="L251" s="266"/>
      <c r="M251" s="266"/>
      <c r="N251" s="266"/>
      <c r="O251" s="266"/>
      <c r="P251" s="266"/>
      <c r="Q251" s="266"/>
      <c r="R251" s="266"/>
      <c r="S251" s="216"/>
      <c r="T251" s="216"/>
      <c r="U251" s="217"/>
      <c r="V251" s="216"/>
      <c r="W251" s="216"/>
      <c r="X251" s="216"/>
      <c r="Y251" s="216"/>
      <c r="Z251" s="216"/>
      <c r="AA251" s="216"/>
      <c r="AB251" s="216"/>
      <c r="AC251" s="216"/>
      <c r="AD251" s="216"/>
      <c r="AE251" s="216"/>
      <c r="AF251" s="216"/>
      <c r="AG251" s="216"/>
      <c r="AH251" s="216"/>
      <c r="AI251" s="216"/>
      <c r="AJ251" s="216"/>
      <c r="AK251" s="216"/>
      <c r="AL251" s="216"/>
      <c r="AM251" s="216"/>
      <c r="AN251" s="216"/>
    </row>
    <row r="252">
      <c r="B252" s="267"/>
      <c r="C252" s="266"/>
      <c r="D252" s="266"/>
      <c r="E252" s="266"/>
      <c r="F252" s="266"/>
      <c r="G252" s="266"/>
      <c r="H252" s="266"/>
      <c r="I252" s="266"/>
      <c r="J252" s="266"/>
      <c r="K252" s="266"/>
      <c r="L252" s="266"/>
      <c r="M252" s="266"/>
      <c r="N252" s="266"/>
      <c r="O252" s="266"/>
      <c r="P252" s="266"/>
      <c r="Q252" s="266"/>
      <c r="R252" s="266"/>
      <c r="S252" s="216"/>
      <c r="T252" s="216"/>
      <c r="U252" s="217"/>
      <c r="V252" s="216"/>
      <c r="W252" s="216"/>
      <c r="X252" s="216"/>
      <c r="Y252" s="216"/>
      <c r="Z252" s="216"/>
      <c r="AA252" s="216"/>
      <c r="AB252" s="216"/>
      <c r="AC252" s="216"/>
      <c r="AD252" s="216"/>
      <c r="AE252" s="216"/>
      <c r="AF252" s="216"/>
      <c r="AG252" s="216"/>
      <c r="AH252" s="216"/>
      <c r="AI252" s="216"/>
      <c r="AJ252" s="216"/>
      <c r="AK252" s="216"/>
      <c r="AL252" s="216"/>
      <c r="AM252" s="216"/>
      <c r="AN252" s="216"/>
    </row>
    <row r="253">
      <c r="B253" s="267"/>
      <c r="C253" s="266"/>
      <c r="D253" s="266"/>
      <c r="E253" s="266"/>
      <c r="F253" s="266"/>
      <c r="G253" s="266"/>
      <c r="H253" s="266"/>
      <c r="I253" s="266"/>
      <c r="J253" s="266"/>
      <c r="K253" s="266"/>
      <c r="L253" s="266"/>
      <c r="M253" s="266"/>
      <c r="N253" s="266"/>
      <c r="O253" s="266"/>
      <c r="P253" s="266"/>
      <c r="Q253" s="266"/>
      <c r="R253" s="266"/>
      <c r="S253" s="216"/>
      <c r="T253" s="216"/>
      <c r="U253" s="217"/>
      <c r="V253" s="216"/>
      <c r="W253" s="216"/>
      <c r="X253" s="216"/>
      <c r="Y253" s="216"/>
      <c r="Z253" s="216"/>
      <c r="AA253" s="216"/>
      <c r="AB253" s="216"/>
      <c r="AC253" s="216"/>
      <c r="AD253" s="216"/>
      <c r="AE253" s="216"/>
      <c r="AF253" s="216"/>
      <c r="AG253" s="216"/>
      <c r="AH253" s="216"/>
      <c r="AI253" s="216"/>
      <c r="AJ253" s="216"/>
      <c r="AK253" s="216"/>
      <c r="AL253" s="216"/>
      <c r="AM253" s="216"/>
      <c r="AN253" s="216"/>
    </row>
    <row r="254">
      <c r="B254" s="267"/>
      <c r="C254" s="266"/>
      <c r="D254" s="266"/>
      <c r="E254" s="266"/>
      <c r="F254" s="266"/>
      <c r="G254" s="266"/>
      <c r="H254" s="266"/>
      <c r="I254" s="266"/>
      <c r="J254" s="266"/>
      <c r="K254" s="266"/>
      <c r="L254" s="266"/>
      <c r="M254" s="266"/>
      <c r="N254" s="266"/>
      <c r="O254" s="266"/>
      <c r="P254" s="266"/>
      <c r="Q254" s="266"/>
      <c r="R254" s="266"/>
      <c r="S254" s="216"/>
      <c r="T254" s="216"/>
      <c r="U254" s="217"/>
      <c r="V254" s="216"/>
      <c r="W254" s="216"/>
      <c r="X254" s="216"/>
      <c r="Y254" s="216"/>
      <c r="Z254" s="216"/>
      <c r="AA254" s="216"/>
      <c r="AB254" s="216"/>
      <c r="AC254" s="216"/>
      <c r="AD254" s="216"/>
      <c r="AE254" s="216"/>
      <c r="AF254" s="216"/>
      <c r="AG254" s="216"/>
      <c r="AH254" s="216"/>
      <c r="AI254" s="216"/>
      <c r="AJ254" s="216"/>
      <c r="AK254" s="216"/>
      <c r="AL254" s="216"/>
      <c r="AM254" s="216"/>
      <c r="AN254" s="216"/>
    </row>
    <row r="255">
      <c r="B255" s="267"/>
      <c r="C255" s="266"/>
      <c r="D255" s="266"/>
      <c r="E255" s="266"/>
      <c r="F255" s="266"/>
      <c r="G255" s="266"/>
      <c r="H255" s="266"/>
      <c r="I255" s="266"/>
      <c r="J255" s="266"/>
      <c r="K255" s="266"/>
      <c r="L255" s="266"/>
      <c r="M255" s="266"/>
      <c r="N255" s="266"/>
      <c r="O255" s="266"/>
      <c r="P255" s="266"/>
      <c r="Q255" s="266"/>
      <c r="R255" s="266"/>
      <c r="S255" s="216"/>
      <c r="T255" s="216"/>
      <c r="U255" s="217"/>
      <c r="V255" s="216"/>
      <c r="W255" s="216"/>
      <c r="X255" s="216"/>
      <c r="Y255" s="216"/>
      <c r="Z255" s="216"/>
      <c r="AA255" s="216"/>
      <c r="AB255" s="216"/>
      <c r="AC255" s="216"/>
      <c r="AD255" s="216"/>
      <c r="AE255" s="216"/>
      <c r="AF255" s="216"/>
      <c r="AG255" s="216"/>
      <c r="AH255" s="216"/>
      <c r="AI255" s="216"/>
      <c r="AJ255" s="216"/>
      <c r="AK255" s="216"/>
      <c r="AL255" s="216"/>
      <c r="AM255" s="216"/>
      <c r="AN255" s="216"/>
    </row>
    <row r="256">
      <c r="B256" s="267"/>
      <c r="C256" s="266"/>
      <c r="D256" s="266"/>
      <c r="E256" s="266"/>
      <c r="F256" s="266"/>
      <c r="G256" s="266"/>
      <c r="H256" s="266"/>
      <c r="I256" s="266"/>
      <c r="J256" s="266"/>
      <c r="K256" s="266"/>
      <c r="L256" s="266"/>
      <c r="M256" s="266"/>
      <c r="N256" s="266"/>
      <c r="O256" s="266"/>
      <c r="P256" s="266"/>
      <c r="Q256" s="266"/>
      <c r="R256" s="266"/>
      <c r="S256" s="216"/>
      <c r="T256" s="216"/>
      <c r="U256" s="217"/>
      <c r="V256" s="216"/>
      <c r="W256" s="216"/>
      <c r="X256" s="216"/>
      <c r="Y256" s="216"/>
      <c r="Z256" s="216"/>
      <c r="AA256" s="216"/>
      <c r="AB256" s="216"/>
      <c r="AC256" s="216"/>
      <c r="AD256" s="216"/>
      <c r="AE256" s="216"/>
      <c r="AF256" s="216"/>
      <c r="AG256" s="216"/>
      <c r="AH256" s="216"/>
      <c r="AI256" s="216"/>
      <c r="AJ256" s="216"/>
      <c r="AK256" s="216"/>
      <c r="AL256" s="216"/>
      <c r="AM256" s="216"/>
      <c r="AN256" s="216"/>
    </row>
    <row r="257">
      <c r="B257" s="267"/>
      <c r="C257" s="266"/>
      <c r="D257" s="266"/>
      <c r="E257" s="266"/>
      <c r="F257" s="266"/>
      <c r="G257" s="266"/>
      <c r="H257" s="266"/>
      <c r="I257" s="266"/>
      <c r="J257" s="266"/>
      <c r="K257" s="266"/>
      <c r="L257" s="266"/>
      <c r="M257" s="266"/>
      <c r="N257" s="266"/>
      <c r="O257" s="266"/>
      <c r="P257" s="266"/>
      <c r="Q257" s="266"/>
      <c r="R257" s="266"/>
      <c r="S257" s="216"/>
      <c r="T257" s="216"/>
      <c r="U257" s="217"/>
      <c r="V257" s="216"/>
      <c r="W257" s="216"/>
      <c r="X257" s="216"/>
      <c r="Y257" s="216"/>
      <c r="Z257" s="216"/>
      <c r="AA257" s="216"/>
      <c r="AB257" s="216"/>
      <c r="AC257" s="216"/>
      <c r="AD257" s="216"/>
      <c r="AE257" s="216"/>
      <c r="AF257" s="216"/>
      <c r="AG257" s="216"/>
      <c r="AH257" s="216"/>
      <c r="AI257" s="216"/>
      <c r="AJ257" s="216"/>
      <c r="AK257" s="216"/>
      <c r="AL257" s="216"/>
      <c r="AM257" s="216"/>
      <c r="AN257" s="216"/>
    </row>
    <row r="258">
      <c r="B258" s="267"/>
      <c r="C258" s="266"/>
      <c r="D258" s="266"/>
      <c r="E258" s="266"/>
      <c r="F258" s="266"/>
      <c r="G258" s="266"/>
      <c r="H258" s="266"/>
      <c r="I258" s="266"/>
      <c r="J258" s="266"/>
      <c r="K258" s="266"/>
      <c r="L258" s="266"/>
      <c r="M258" s="266"/>
      <c r="N258" s="266"/>
      <c r="O258" s="266"/>
      <c r="P258" s="266"/>
      <c r="Q258" s="266"/>
      <c r="R258" s="266"/>
      <c r="S258" s="216"/>
      <c r="T258" s="216"/>
      <c r="U258" s="217"/>
      <c r="V258" s="216"/>
      <c r="W258" s="216"/>
      <c r="X258" s="216"/>
      <c r="Y258" s="216"/>
      <c r="Z258" s="216"/>
      <c r="AA258" s="216"/>
      <c r="AB258" s="216"/>
      <c r="AC258" s="216"/>
      <c r="AD258" s="216"/>
      <c r="AE258" s="216"/>
      <c r="AF258" s="216"/>
      <c r="AG258" s="216"/>
      <c r="AH258" s="216"/>
      <c r="AI258" s="216"/>
      <c r="AJ258" s="216"/>
      <c r="AK258" s="216"/>
      <c r="AL258" s="216"/>
      <c r="AM258" s="216"/>
      <c r="AN258" s="216"/>
    </row>
    <row r="259">
      <c r="B259" s="267"/>
      <c r="C259" s="266"/>
      <c r="D259" s="266"/>
      <c r="E259" s="266"/>
      <c r="F259" s="266"/>
      <c r="G259" s="266"/>
      <c r="H259" s="266"/>
      <c r="I259" s="266"/>
      <c r="J259" s="266"/>
      <c r="K259" s="266"/>
      <c r="L259" s="266"/>
      <c r="M259" s="266"/>
      <c r="N259" s="266"/>
      <c r="O259" s="266"/>
      <c r="P259" s="266"/>
      <c r="Q259" s="266"/>
      <c r="R259" s="266"/>
      <c r="S259" s="216"/>
      <c r="T259" s="216"/>
      <c r="U259" s="217"/>
      <c r="V259" s="216"/>
      <c r="W259" s="216"/>
      <c r="X259" s="216"/>
      <c r="Y259" s="216"/>
      <c r="Z259" s="216"/>
      <c r="AA259" s="216"/>
      <c r="AB259" s="216"/>
      <c r="AC259" s="216"/>
      <c r="AD259" s="216"/>
      <c r="AE259" s="216"/>
      <c r="AF259" s="216"/>
      <c r="AG259" s="216"/>
      <c r="AH259" s="216"/>
      <c r="AI259" s="216"/>
      <c r="AJ259" s="216"/>
      <c r="AK259" s="216"/>
      <c r="AL259" s="216"/>
      <c r="AM259" s="216"/>
      <c r="AN259" s="216"/>
    </row>
    <row r="260">
      <c r="B260" s="267"/>
      <c r="C260" s="266"/>
      <c r="D260" s="266"/>
      <c r="E260" s="266"/>
      <c r="F260" s="266"/>
      <c r="G260" s="266"/>
      <c r="H260" s="266"/>
      <c r="I260" s="266"/>
      <c r="J260" s="266"/>
      <c r="K260" s="266"/>
      <c r="L260" s="266"/>
      <c r="M260" s="266"/>
      <c r="N260" s="266"/>
      <c r="O260" s="266"/>
      <c r="P260" s="266"/>
      <c r="Q260" s="266"/>
      <c r="R260" s="266"/>
      <c r="S260" s="216"/>
      <c r="T260" s="216"/>
      <c r="U260" s="217"/>
      <c r="V260" s="216"/>
      <c r="W260" s="216"/>
      <c r="X260" s="216"/>
      <c r="Y260" s="216"/>
      <c r="Z260" s="216"/>
      <c r="AA260" s="216"/>
      <c r="AB260" s="216"/>
      <c r="AC260" s="216"/>
      <c r="AD260" s="216"/>
      <c r="AE260" s="216"/>
      <c r="AF260" s="216"/>
      <c r="AG260" s="216"/>
      <c r="AH260" s="216"/>
      <c r="AI260" s="216"/>
      <c r="AJ260" s="216"/>
      <c r="AK260" s="216"/>
      <c r="AL260" s="216"/>
      <c r="AM260" s="216"/>
      <c r="AN260" s="216"/>
    </row>
    <row r="261">
      <c r="B261" s="267"/>
      <c r="C261" s="266"/>
      <c r="D261" s="266"/>
      <c r="E261" s="266"/>
      <c r="F261" s="266"/>
      <c r="G261" s="266"/>
      <c r="H261" s="266"/>
      <c r="I261" s="266"/>
      <c r="J261" s="266"/>
      <c r="K261" s="266"/>
      <c r="L261" s="266"/>
      <c r="M261" s="266"/>
      <c r="N261" s="266"/>
      <c r="O261" s="266"/>
      <c r="P261" s="266"/>
      <c r="Q261" s="266"/>
      <c r="R261" s="266"/>
      <c r="S261" s="216"/>
      <c r="T261" s="216"/>
      <c r="U261" s="217"/>
      <c r="V261" s="216"/>
      <c r="W261" s="216"/>
      <c r="X261" s="216"/>
      <c r="Y261" s="216"/>
      <c r="Z261" s="216"/>
      <c r="AA261" s="216"/>
      <c r="AB261" s="216"/>
      <c r="AC261" s="216"/>
      <c r="AD261" s="216"/>
      <c r="AE261" s="216"/>
      <c r="AF261" s="216"/>
      <c r="AG261" s="216"/>
      <c r="AH261" s="216"/>
      <c r="AI261" s="216"/>
      <c r="AJ261" s="216"/>
      <c r="AK261" s="216"/>
      <c r="AL261" s="216"/>
      <c r="AM261" s="216"/>
      <c r="AN261" s="216"/>
    </row>
    <row r="262">
      <c r="B262" s="267"/>
      <c r="C262" s="266"/>
      <c r="D262" s="266"/>
      <c r="E262" s="266"/>
      <c r="F262" s="266"/>
      <c r="G262" s="266"/>
      <c r="H262" s="266"/>
      <c r="I262" s="266"/>
      <c r="J262" s="266"/>
      <c r="K262" s="266"/>
      <c r="L262" s="266"/>
      <c r="M262" s="266"/>
      <c r="N262" s="266"/>
      <c r="O262" s="266"/>
      <c r="P262" s="266"/>
      <c r="Q262" s="266"/>
      <c r="R262" s="266"/>
      <c r="S262" s="216"/>
      <c r="T262" s="216"/>
      <c r="U262" s="217"/>
      <c r="V262" s="216"/>
      <c r="W262" s="216"/>
      <c r="X262" s="216"/>
      <c r="Y262" s="216"/>
      <c r="Z262" s="216"/>
      <c r="AA262" s="216"/>
      <c r="AB262" s="216"/>
      <c r="AC262" s="216"/>
      <c r="AD262" s="216"/>
      <c r="AE262" s="216"/>
      <c r="AF262" s="216"/>
      <c r="AG262" s="216"/>
      <c r="AH262" s="216"/>
      <c r="AI262" s="216"/>
      <c r="AJ262" s="216"/>
      <c r="AK262" s="216"/>
      <c r="AL262" s="216"/>
      <c r="AM262" s="216"/>
      <c r="AN262" s="216"/>
    </row>
    <row r="263">
      <c r="B263" s="267"/>
      <c r="C263" s="266"/>
      <c r="D263" s="266"/>
      <c r="E263" s="266"/>
      <c r="F263" s="266"/>
      <c r="G263" s="266"/>
      <c r="H263" s="266"/>
      <c r="I263" s="266"/>
      <c r="J263" s="266"/>
      <c r="K263" s="266"/>
      <c r="L263" s="266"/>
      <c r="M263" s="266"/>
      <c r="N263" s="266"/>
      <c r="O263" s="266"/>
      <c r="P263" s="266"/>
      <c r="Q263" s="266"/>
      <c r="R263" s="266"/>
      <c r="S263" s="216"/>
      <c r="T263" s="216"/>
      <c r="U263" s="217"/>
      <c r="V263" s="216"/>
      <c r="W263" s="216"/>
      <c r="X263" s="216"/>
      <c r="Y263" s="216"/>
      <c r="Z263" s="216"/>
      <c r="AA263" s="216"/>
      <c r="AB263" s="216"/>
      <c r="AC263" s="216"/>
      <c r="AD263" s="216"/>
      <c r="AE263" s="216"/>
      <c r="AF263" s="216"/>
      <c r="AG263" s="216"/>
      <c r="AH263" s="216"/>
      <c r="AI263" s="216"/>
      <c r="AJ263" s="216"/>
      <c r="AK263" s="216"/>
      <c r="AL263" s="216"/>
      <c r="AM263" s="216"/>
      <c r="AN263" s="216"/>
    </row>
    <row r="264">
      <c r="B264" s="267"/>
      <c r="C264" s="266"/>
      <c r="D264" s="266"/>
      <c r="E264" s="266"/>
      <c r="F264" s="266"/>
      <c r="G264" s="266"/>
      <c r="H264" s="266"/>
      <c r="I264" s="266"/>
      <c r="J264" s="266"/>
      <c r="K264" s="266"/>
      <c r="L264" s="266"/>
      <c r="M264" s="266"/>
      <c r="N264" s="266"/>
      <c r="O264" s="266"/>
      <c r="P264" s="266"/>
      <c r="Q264" s="266"/>
      <c r="R264" s="266"/>
      <c r="S264" s="216"/>
      <c r="T264" s="216"/>
      <c r="U264" s="217"/>
      <c r="V264" s="216"/>
      <c r="W264" s="216"/>
      <c r="X264" s="216"/>
      <c r="Y264" s="216"/>
      <c r="Z264" s="216"/>
      <c r="AA264" s="216"/>
      <c r="AB264" s="216"/>
      <c r="AC264" s="216"/>
      <c r="AD264" s="216"/>
      <c r="AE264" s="216"/>
      <c r="AF264" s="216"/>
      <c r="AG264" s="216"/>
      <c r="AH264" s="216"/>
      <c r="AI264" s="216"/>
      <c r="AJ264" s="216"/>
      <c r="AK264" s="216"/>
      <c r="AL264" s="216"/>
      <c r="AM264" s="216"/>
      <c r="AN264" s="216"/>
    </row>
    <row r="265">
      <c r="B265" s="267"/>
      <c r="C265" s="266"/>
      <c r="D265" s="266"/>
      <c r="E265" s="266"/>
      <c r="F265" s="266"/>
      <c r="G265" s="266"/>
      <c r="H265" s="266"/>
      <c r="I265" s="266"/>
      <c r="J265" s="266"/>
      <c r="K265" s="266"/>
      <c r="L265" s="266"/>
      <c r="M265" s="266"/>
      <c r="N265" s="266"/>
      <c r="O265" s="266"/>
      <c r="P265" s="266"/>
      <c r="Q265" s="266"/>
      <c r="R265" s="266"/>
      <c r="S265" s="216"/>
      <c r="T265" s="216"/>
      <c r="U265" s="217"/>
      <c r="V265" s="216"/>
      <c r="W265" s="216"/>
      <c r="X265" s="216"/>
      <c r="Y265" s="216"/>
      <c r="Z265" s="216"/>
      <c r="AA265" s="216"/>
      <c r="AB265" s="216"/>
      <c r="AC265" s="216"/>
      <c r="AD265" s="216"/>
      <c r="AE265" s="216"/>
      <c r="AF265" s="216"/>
      <c r="AG265" s="216"/>
      <c r="AH265" s="216"/>
      <c r="AI265" s="216"/>
      <c r="AJ265" s="216"/>
      <c r="AK265" s="216"/>
      <c r="AL265" s="216"/>
      <c r="AM265" s="216"/>
      <c r="AN265" s="216"/>
    </row>
    <row r="266">
      <c r="B266" s="267"/>
      <c r="C266" s="266"/>
      <c r="D266" s="266"/>
      <c r="E266" s="266"/>
      <c r="F266" s="266"/>
      <c r="G266" s="266"/>
      <c r="H266" s="266"/>
      <c r="I266" s="266"/>
      <c r="J266" s="266"/>
      <c r="K266" s="266"/>
      <c r="L266" s="266"/>
      <c r="M266" s="266"/>
      <c r="N266" s="266"/>
      <c r="O266" s="266"/>
      <c r="P266" s="266"/>
      <c r="Q266" s="266"/>
      <c r="R266" s="266"/>
      <c r="S266" s="216"/>
      <c r="T266" s="216"/>
      <c r="U266" s="217"/>
      <c r="V266" s="216"/>
      <c r="W266" s="216"/>
      <c r="X266" s="216"/>
      <c r="Y266" s="216"/>
      <c r="Z266" s="216"/>
      <c r="AA266" s="216"/>
      <c r="AB266" s="216"/>
      <c r="AC266" s="216"/>
      <c r="AD266" s="216"/>
      <c r="AE266" s="216"/>
      <c r="AF266" s="216"/>
      <c r="AG266" s="216"/>
      <c r="AH266" s="216"/>
      <c r="AI266" s="216"/>
      <c r="AJ266" s="216"/>
      <c r="AK266" s="216"/>
      <c r="AL266" s="216"/>
      <c r="AM266" s="216"/>
      <c r="AN266" s="216"/>
    </row>
    <row r="267">
      <c r="B267" s="267"/>
      <c r="C267" s="266"/>
      <c r="D267" s="266"/>
      <c r="E267" s="266"/>
      <c r="F267" s="266"/>
      <c r="G267" s="266"/>
      <c r="H267" s="266"/>
      <c r="I267" s="266"/>
      <c r="J267" s="266"/>
      <c r="K267" s="266"/>
      <c r="L267" s="266"/>
      <c r="M267" s="266"/>
      <c r="N267" s="266"/>
      <c r="O267" s="266"/>
      <c r="P267" s="266"/>
      <c r="Q267" s="266"/>
      <c r="R267" s="266"/>
      <c r="S267" s="216"/>
      <c r="T267" s="216"/>
      <c r="U267" s="217"/>
      <c r="V267" s="216"/>
      <c r="W267" s="216"/>
      <c r="X267" s="216"/>
      <c r="Y267" s="216"/>
      <c r="Z267" s="216"/>
      <c r="AA267" s="216"/>
      <c r="AB267" s="216"/>
      <c r="AC267" s="216"/>
      <c r="AD267" s="216"/>
      <c r="AE267" s="216"/>
      <c r="AF267" s="216"/>
      <c r="AG267" s="216"/>
      <c r="AH267" s="216"/>
      <c r="AI267" s="216"/>
      <c r="AJ267" s="216"/>
      <c r="AK267" s="216"/>
      <c r="AL267" s="216"/>
      <c r="AM267" s="216"/>
      <c r="AN267" s="216"/>
    </row>
    <row r="268">
      <c r="B268" s="267"/>
      <c r="C268" s="266"/>
      <c r="D268" s="266"/>
      <c r="E268" s="266"/>
      <c r="F268" s="266"/>
      <c r="G268" s="266"/>
      <c r="H268" s="266"/>
      <c r="I268" s="266"/>
      <c r="J268" s="266"/>
      <c r="K268" s="266"/>
      <c r="L268" s="266"/>
      <c r="M268" s="266"/>
      <c r="N268" s="266"/>
      <c r="O268" s="266"/>
      <c r="P268" s="266"/>
      <c r="Q268" s="266"/>
      <c r="R268" s="266"/>
      <c r="S268" s="216"/>
      <c r="T268" s="216"/>
      <c r="U268" s="217"/>
      <c r="V268" s="216"/>
      <c r="W268" s="216"/>
      <c r="X268" s="216"/>
      <c r="Y268" s="216"/>
      <c r="Z268" s="216"/>
      <c r="AA268" s="216"/>
      <c r="AB268" s="216"/>
      <c r="AC268" s="216"/>
      <c r="AD268" s="216"/>
      <c r="AE268" s="216"/>
      <c r="AF268" s="216"/>
      <c r="AG268" s="216"/>
      <c r="AH268" s="216"/>
      <c r="AI268" s="216"/>
      <c r="AJ268" s="216"/>
      <c r="AK268" s="216"/>
      <c r="AL268" s="216"/>
      <c r="AM268" s="216"/>
      <c r="AN268" s="216"/>
    </row>
    <row r="269">
      <c r="B269" s="267"/>
      <c r="C269" s="266"/>
      <c r="D269" s="266"/>
      <c r="E269" s="266"/>
      <c r="F269" s="266"/>
      <c r="G269" s="266"/>
      <c r="H269" s="266"/>
      <c r="I269" s="266"/>
      <c r="J269" s="266"/>
      <c r="K269" s="266"/>
      <c r="L269" s="266"/>
      <c r="M269" s="266"/>
      <c r="N269" s="266"/>
      <c r="O269" s="266"/>
      <c r="P269" s="266"/>
      <c r="Q269" s="266"/>
      <c r="R269" s="266"/>
      <c r="S269" s="216"/>
      <c r="T269" s="216"/>
      <c r="U269" s="217"/>
      <c r="V269" s="216"/>
      <c r="W269" s="216"/>
      <c r="X269" s="216"/>
      <c r="Y269" s="216"/>
      <c r="Z269" s="216"/>
      <c r="AA269" s="216"/>
      <c r="AB269" s="216"/>
      <c r="AC269" s="216"/>
      <c r="AD269" s="216"/>
      <c r="AE269" s="216"/>
      <c r="AF269" s="216"/>
      <c r="AG269" s="216"/>
      <c r="AH269" s="216"/>
      <c r="AI269" s="216"/>
      <c r="AJ269" s="216"/>
      <c r="AK269" s="216"/>
      <c r="AL269" s="216"/>
      <c r="AM269" s="216"/>
      <c r="AN269" s="216"/>
    </row>
    <row r="270">
      <c r="B270" s="267"/>
      <c r="C270" s="266"/>
      <c r="D270" s="266"/>
      <c r="E270" s="266"/>
      <c r="F270" s="266"/>
      <c r="G270" s="266"/>
      <c r="H270" s="266"/>
      <c r="I270" s="266"/>
      <c r="J270" s="266"/>
      <c r="K270" s="266"/>
      <c r="L270" s="266"/>
      <c r="M270" s="266"/>
      <c r="N270" s="266"/>
      <c r="O270" s="266"/>
      <c r="P270" s="266"/>
      <c r="Q270" s="266"/>
      <c r="R270" s="266"/>
      <c r="S270" s="216"/>
      <c r="T270" s="216"/>
      <c r="U270" s="217"/>
      <c r="V270" s="216"/>
      <c r="W270" s="216"/>
      <c r="X270" s="216"/>
      <c r="Y270" s="216"/>
      <c r="Z270" s="216"/>
      <c r="AA270" s="216"/>
      <c r="AB270" s="216"/>
      <c r="AC270" s="216"/>
      <c r="AD270" s="216"/>
      <c r="AE270" s="216"/>
      <c r="AF270" s="216"/>
      <c r="AG270" s="216"/>
      <c r="AH270" s="216"/>
      <c r="AI270" s="216"/>
      <c r="AJ270" s="216"/>
      <c r="AK270" s="216"/>
      <c r="AL270" s="216"/>
      <c r="AM270" s="216"/>
      <c r="AN270" s="216"/>
    </row>
    <row r="271">
      <c r="B271" s="267"/>
      <c r="C271" s="266"/>
      <c r="D271" s="266"/>
      <c r="E271" s="266"/>
      <c r="F271" s="266"/>
      <c r="G271" s="266"/>
      <c r="H271" s="266"/>
      <c r="I271" s="266"/>
      <c r="J271" s="266"/>
      <c r="K271" s="266"/>
      <c r="L271" s="266"/>
      <c r="M271" s="266"/>
      <c r="N271" s="266"/>
      <c r="O271" s="266"/>
      <c r="P271" s="266"/>
      <c r="Q271" s="266"/>
      <c r="R271" s="266"/>
      <c r="S271" s="216"/>
      <c r="T271" s="216"/>
      <c r="U271" s="217"/>
      <c r="V271" s="216"/>
      <c r="W271" s="216"/>
      <c r="X271" s="216"/>
      <c r="Y271" s="216"/>
      <c r="Z271" s="216"/>
      <c r="AA271" s="216"/>
      <c r="AB271" s="216"/>
      <c r="AC271" s="216"/>
      <c r="AD271" s="216"/>
      <c r="AE271" s="216"/>
      <c r="AF271" s="216"/>
      <c r="AG271" s="216"/>
      <c r="AH271" s="216"/>
      <c r="AI271" s="216"/>
      <c r="AJ271" s="216"/>
      <c r="AK271" s="216"/>
      <c r="AL271" s="216"/>
      <c r="AM271" s="216"/>
      <c r="AN271" s="216"/>
    </row>
    <row r="272">
      <c r="B272" s="267"/>
      <c r="C272" s="266"/>
      <c r="D272" s="266"/>
      <c r="E272" s="266"/>
      <c r="F272" s="266"/>
      <c r="G272" s="266"/>
      <c r="H272" s="266"/>
      <c r="I272" s="266"/>
      <c r="J272" s="266"/>
      <c r="K272" s="266"/>
      <c r="L272" s="266"/>
      <c r="M272" s="266"/>
      <c r="N272" s="266"/>
      <c r="O272" s="266"/>
      <c r="P272" s="266"/>
      <c r="Q272" s="266"/>
      <c r="R272" s="266"/>
      <c r="S272" s="216"/>
      <c r="T272" s="216"/>
      <c r="U272" s="217"/>
      <c r="V272" s="216"/>
      <c r="W272" s="216"/>
      <c r="X272" s="216"/>
      <c r="Y272" s="216"/>
      <c r="Z272" s="216"/>
      <c r="AA272" s="216"/>
      <c r="AB272" s="216"/>
      <c r="AC272" s="216"/>
      <c r="AD272" s="216"/>
      <c r="AE272" s="216"/>
      <c r="AF272" s="216"/>
      <c r="AG272" s="216"/>
      <c r="AH272" s="216"/>
      <c r="AI272" s="216"/>
      <c r="AJ272" s="216"/>
      <c r="AK272" s="216"/>
      <c r="AL272" s="216"/>
      <c r="AM272" s="216"/>
      <c r="AN272" s="216"/>
    </row>
    <row r="273">
      <c r="B273" s="267"/>
      <c r="C273" s="266"/>
      <c r="D273" s="266"/>
      <c r="E273" s="266"/>
      <c r="F273" s="266"/>
      <c r="G273" s="266"/>
      <c r="H273" s="266"/>
      <c r="I273" s="266"/>
      <c r="J273" s="266"/>
      <c r="K273" s="266"/>
      <c r="L273" s="266"/>
      <c r="M273" s="266"/>
      <c r="N273" s="266"/>
      <c r="O273" s="266"/>
      <c r="P273" s="266"/>
      <c r="Q273" s="266"/>
      <c r="R273" s="266"/>
      <c r="S273" s="216"/>
      <c r="T273" s="216"/>
      <c r="U273" s="217"/>
      <c r="V273" s="216"/>
      <c r="W273" s="216"/>
      <c r="X273" s="216"/>
      <c r="Y273" s="216"/>
      <c r="Z273" s="216"/>
      <c r="AA273" s="216"/>
      <c r="AB273" s="216"/>
      <c r="AC273" s="216"/>
      <c r="AD273" s="216"/>
      <c r="AE273" s="216"/>
      <c r="AF273" s="216"/>
      <c r="AG273" s="216"/>
      <c r="AH273" s="216"/>
      <c r="AI273" s="216"/>
      <c r="AJ273" s="216"/>
      <c r="AK273" s="216"/>
      <c r="AL273" s="216"/>
      <c r="AM273" s="216"/>
      <c r="AN273" s="216"/>
    </row>
    <row r="274">
      <c r="B274" s="267"/>
      <c r="C274" s="266"/>
      <c r="D274" s="266"/>
      <c r="E274" s="266"/>
      <c r="F274" s="266"/>
      <c r="G274" s="266"/>
      <c r="H274" s="266"/>
      <c r="I274" s="266"/>
      <c r="J274" s="266"/>
      <c r="K274" s="266"/>
      <c r="L274" s="266"/>
      <c r="M274" s="266"/>
      <c r="N274" s="266"/>
      <c r="O274" s="266"/>
      <c r="P274" s="266"/>
      <c r="Q274" s="266"/>
      <c r="R274" s="266"/>
      <c r="S274" s="216"/>
      <c r="T274" s="216"/>
      <c r="U274" s="217"/>
      <c r="V274" s="216"/>
      <c r="W274" s="216"/>
      <c r="X274" s="216"/>
      <c r="Y274" s="216"/>
      <c r="Z274" s="216"/>
      <c r="AA274" s="216"/>
      <c r="AB274" s="216"/>
      <c r="AC274" s="216"/>
      <c r="AD274" s="216"/>
      <c r="AE274" s="216"/>
      <c r="AF274" s="216"/>
      <c r="AG274" s="216"/>
      <c r="AH274" s="216"/>
      <c r="AI274" s="216"/>
      <c r="AJ274" s="216"/>
      <c r="AK274" s="216"/>
      <c r="AL274" s="216"/>
      <c r="AM274" s="216"/>
      <c r="AN274" s="216"/>
    </row>
    <row r="275">
      <c r="B275" s="267"/>
      <c r="C275" s="266"/>
      <c r="D275" s="266"/>
      <c r="E275" s="266"/>
      <c r="F275" s="266"/>
      <c r="G275" s="266"/>
      <c r="H275" s="266"/>
      <c r="I275" s="266"/>
      <c r="J275" s="266"/>
      <c r="K275" s="266"/>
      <c r="L275" s="266"/>
      <c r="M275" s="266"/>
      <c r="N275" s="266"/>
      <c r="O275" s="266"/>
      <c r="P275" s="266"/>
      <c r="Q275" s="266"/>
      <c r="R275" s="266"/>
      <c r="S275" s="216"/>
      <c r="T275" s="216"/>
      <c r="U275" s="217"/>
      <c r="V275" s="216"/>
      <c r="W275" s="216"/>
      <c r="X275" s="216"/>
      <c r="Y275" s="216"/>
      <c r="Z275" s="216"/>
      <c r="AA275" s="216"/>
      <c r="AB275" s="216"/>
      <c r="AC275" s="216"/>
      <c r="AD275" s="216"/>
      <c r="AE275" s="216"/>
      <c r="AF275" s="216"/>
      <c r="AG275" s="216"/>
      <c r="AH275" s="216"/>
      <c r="AI275" s="216"/>
      <c r="AJ275" s="216"/>
      <c r="AK275" s="216"/>
      <c r="AL275" s="216"/>
      <c r="AM275" s="216"/>
      <c r="AN275" s="216"/>
    </row>
    <row r="276">
      <c r="B276" s="267"/>
      <c r="C276" s="266"/>
      <c r="D276" s="266"/>
      <c r="E276" s="266"/>
      <c r="F276" s="266"/>
      <c r="G276" s="266"/>
      <c r="H276" s="266"/>
      <c r="I276" s="266"/>
      <c r="J276" s="266"/>
      <c r="K276" s="266"/>
      <c r="L276" s="266"/>
      <c r="M276" s="266"/>
      <c r="N276" s="266"/>
      <c r="O276" s="266"/>
      <c r="P276" s="266"/>
      <c r="Q276" s="266"/>
      <c r="R276" s="266"/>
      <c r="S276" s="216"/>
      <c r="T276" s="216"/>
      <c r="U276" s="217"/>
      <c r="V276" s="216"/>
      <c r="W276" s="216"/>
      <c r="X276" s="216"/>
      <c r="Y276" s="216"/>
      <c r="Z276" s="216"/>
      <c r="AA276" s="216"/>
      <c r="AB276" s="216"/>
      <c r="AC276" s="216"/>
      <c r="AD276" s="216"/>
      <c r="AE276" s="216"/>
      <c r="AF276" s="216"/>
      <c r="AG276" s="216"/>
      <c r="AH276" s="216"/>
      <c r="AI276" s="216"/>
      <c r="AJ276" s="216"/>
      <c r="AK276" s="216"/>
      <c r="AL276" s="216"/>
      <c r="AM276" s="216"/>
      <c r="AN276" s="216"/>
    </row>
    <row r="277">
      <c r="B277" s="267"/>
      <c r="C277" s="266"/>
      <c r="D277" s="266"/>
      <c r="E277" s="266"/>
      <c r="F277" s="266"/>
      <c r="G277" s="266"/>
      <c r="H277" s="266"/>
      <c r="I277" s="266"/>
      <c r="J277" s="266"/>
      <c r="K277" s="266"/>
      <c r="L277" s="266"/>
      <c r="M277" s="266"/>
      <c r="N277" s="266"/>
      <c r="O277" s="266"/>
      <c r="P277" s="266"/>
      <c r="Q277" s="266"/>
      <c r="R277" s="266"/>
      <c r="S277" s="216"/>
      <c r="T277" s="216"/>
      <c r="U277" s="217"/>
      <c r="V277" s="216"/>
      <c r="W277" s="216"/>
      <c r="X277" s="216"/>
      <c r="Y277" s="216"/>
      <c r="Z277" s="216"/>
      <c r="AA277" s="216"/>
      <c r="AB277" s="216"/>
      <c r="AC277" s="216"/>
      <c r="AD277" s="216"/>
      <c r="AE277" s="216"/>
      <c r="AF277" s="216"/>
      <c r="AG277" s="216"/>
      <c r="AH277" s="216"/>
      <c r="AI277" s="216"/>
      <c r="AJ277" s="216"/>
      <c r="AK277" s="216"/>
      <c r="AL277" s="216"/>
      <c r="AM277" s="216"/>
      <c r="AN277" s="216"/>
    </row>
    <row r="278">
      <c r="B278" s="267"/>
      <c r="C278" s="266"/>
      <c r="D278" s="266"/>
      <c r="E278" s="266"/>
      <c r="F278" s="266"/>
      <c r="G278" s="266"/>
      <c r="H278" s="266"/>
      <c r="I278" s="266"/>
      <c r="J278" s="266"/>
      <c r="K278" s="266"/>
      <c r="L278" s="266"/>
      <c r="M278" s="266"/>
      <c r="N278" s="266"/>
      <c r="O278" s="266"/>
      <c r="P278" s="266"/>
      <c r="Q278" s="266"/>
      <c r="R278" s="266"/>
      <c r="S278" s="216"/>
      <c r="T278" s="216"/>
      <c r="U278" s="217"/>
      <c r="V278" s="216"/>
      <c r="W278" s="216"/>
      <c r="X278" s="216"/>
      <c r="Y278" s="216"/>
      <c r="Z278" s="216"/>
      <c r="AA278" s="216"/>
      <c r="AB278" s="216"/>
      <c r="AC278" s="216"/>
      <c r="AD278" s="216"/>
      <c r="AE278" s="216"/>
      <c r="AF278" s="216"/>
      <c r="AG278" s="216"/>
      <c r="AH278" s="216"/>
      <c r="AI278" s="216"/>
      <c r="AJ278" s="216"/>
      <c r="AK278" s="216"/>
      <c r="AL278" s="216"/>
      <c r="AM278" s="216"/>
      <c r="AN278" s="216"/>
    </row>
    <row r="279">
      <c r="B279" s="267"/>
      <c r="C279" s="266"/>
      <c r="D279" s="266"/>
      <c r="E279" s="266"/>
      <c r="F279" s="266"/>
      <c r="G279" s="266"/>
      <c r="H279" s="266"/>
      <c r="I279" s="266"/>
      <c r="J279" s="266"/>
      <c r="K279" s="266"/>
      <c r="L279" s="266"/>
      <c r="M279" s="266"/>
      <c r="N279" s="266"/>
      <c r="O279" s="266"/>
      <c r="P279" s="266"/>
      <c r="Q279" s="266"/>
      <c r="R279" s="266"/>
      <c r="S279" s="216"/>
      <c r="T279" s="216"/>
      <c r="U279" s="217"/>
      <c r="V279" s="216"/>
      <c r="W279" s="216"/>
      <c r="X279" s="216"/>
      <c r="Y279" s="216"/>
      <c r="Z279" s="216"/>
      <c r="AA279" s="216"/>
      <c r="AB279" s="216"/>
      <c r="AC279" s="216"/>
      <c r="AD279" s="216"/>
      <c r="AE279" s="216"/>
      <c r="AF279" s="216"/>
      <c r="AG279" s="216"/>
      <c r="AH279" s="216"/>
      <c r="AI279" s="216"/>
      <c r="AJ279" s="216"/>
      <c r="AK279" s="216"/>
      <c r="AL279" s="216"/>
      <c r="AM279" s="216"/>
      <c r="AN279" s="216"/>
    </row>
    <row r="280">
      <c r="B280" s="267"/>
      <c r="C280" s="266"/>
      <c r="D280" s="266"/>
      <c r="E280" s="266"/>
      <c r="F280" s="266"/>
      <c r="G280" s="266"/>
      <c r="H280" s="266"/>
      <c r="I280" s="266"/>
      <c r="J280" s="266"/>
      <c r="K280" s="266"/>
      <c r="L280" s="266"/>
      <c r="M280" s="266"/>
      <c r="N280" s="266"/>
      <c r="O280" s="266"/>
      <c r="P280" s="266"/>
      <c r="Q280" s="266"/>
      <c r="R280" s="266"/>
      <c r="S280" s="216"/>
      <c r="T280" s="216"/>
      <c r="U280" s="217"/>
      <c r="V280" s="216"/>
      <c r="W280" s="216"/>
      <c r="X280" s="216"/>
      <c r="Y280" s="216"/>
      <c r="Z280" s="216"/>
      <c r="AA280" s="216"/>
      <c r="AB280" s="216"/>
      <c r="AC280" s="216"/>
      <c r="AD280" s="216"/>
      <c r="AE280" s="216"/>
      <c r="AF280" s="216"/>
      <c r="AG280" s="216"/>
      <c r="AH280" s="216"/>
      <c r="AI280" s="216"/>
      <c r="AJ280" s="216"/>
      <c r="AK280" s="216"/>
      <c r="AL280" s="216"/>
      <c r="AM280" s="216"/>
      <c r="AN280" s="216"/>
    </row>
    <row r="281">
      <c r="B281" s="267"/>
      <c r="C281" s="266"/>
      <c r="D281" s="266"/>
      <c r="E281" s="266"/>
      <c r="F281" s="266"/>
      <c r="G281" s="266"/>
      <c r="H281" s="266"/>
      <c r="I281" s="266"/>
      <c r="J281" s="266"/>
      <c r="K281" s="266"/>
      <c r="L281" s="266"/>
      <c r="M281" s="266"/>
      <c r="N281" s="266"/>
      <c r="O281" s="266"/>
      <c r="P281" s="266"/>
      <c r="Q281" s="266"/>
      <c r="R281" s="266"/>
      <c r="S281" s="216"/>
      <c r="T281" s="216"/>
      <c r="U281" s="217"/>
      <c r="V281" s="216"/>
      <c r="W281" s="216"/>
      <c r="X281" s="216"/>
      <c r="Y281" s="216"/>
      <c r="Z281" s="216"/>
      <c r="AA281" s="216"/>
      <c r="AB281" s="216"/>
      <c r="AC281" s="216"/>
      <c r="AD281" s="216"/>
      <c r="AE281" s="216"/>
      <c r="AF281" s="216"/>
      <c r="AG281" s="216"/>
      <c r="AH281" s="216"/>
      <c r="AI281" s="216"/>
      <c r="AJ281" s="216"/>
      <c r="AK281" s="216"/>
      <c r="AL281" s="216"/>
      <c r="AM281" s="216"/>
      <c r="AN281" s="216"/>
    </row>
    <row r="282">
      <c r="B282" s="267"/>
      <c r="C282" s="266"/>
      <c r="D282" s="266"/>
      <c r="E282" s="266"/>
      <c r="F282" s="266"/>
      <c r="G282" s="266"/>
      <c r="H282" s="266"/>
      <c r="I282" s="266"/>
      <c r="J282" s="266"/>
      <c r="K282" s="266"/>
      <c r="L282" s="266"/>
      <c r="M282" s="266"/>
      <c r="N282" s="266"/>
      <c r="O282" s="266"/>
      <c r="P282" s="266"/>
      <c r="Q282" s="266"/>
      <c r="R282" s="266"/>
      <c r="S282" s="216"/>
      <c r="T282" s="216"/>
      <c r="U282" s="217"/>
      <c r="V282" s="216"/>
      <c r="W282" s="216"/>
      <c r="X282" s="216"/>
      <c r="Y282" s="216"/>
      <c r="Z282" s="216"/>
      <c r="AA282" s="216"/>
      <c r="AB282" s="216"/>
      <c r="AC282" s="216"/>
      <c r="AD282" s="216"/>
      <c r="AE282" s="216"/>
      <c r="AF282" s="216"/>
      <c r="AG282" s="216"/>
      <c r="AH282" s="216"/>
      <c r="AI282" s="216"/>
      <c r="AJ282" s="216"/>
      <c r="AK282" s="216"/>
      <c r="AL282" s="216"/>
      <c r="AM282" s="216"/>
      <c r="AN282" s="216"/>
    </row>
    <row r="283">
      <c r="B283" s="267"/>
      <c r="C283" s="266"/>
      <c r="D283" s="266"/>
      <c r="E283" s="266"/>
      <c r="F283" s="266"/>
      <c r="G283" s="266"/>
      <c r="H283" s="266"/>
      <c r="I283" s="266"/>
      <c r="J283" s="266"/>
      <c r="K283" s="266"/>
      <c r="L283" s="266"/>
      <c r="M283" s="266"/>
      <c r="N283" s="266"/>
      <c r="O283" s="266"/>
      <c r="P283" s="266"/>
      <c r="Q283" s="266"/>
      <c r="R283" s="266"/>
      <c r="S283" s="216"/>
      <c r="T283" s="216"/>
      <c r="U283" s="217"/>
      <c r="V283" s="216"/>
      <c r="W283" s="216"/>
      <c r="X283" s="216"/>
      <c r="Y283" s="216"/>
      <c r="Z283" s="216"/>
      <c r="AA283" s="216"/>
      <c r="AB283" s="216"/>
      <c r="AC283" s="216"/>
      <c r="AD283" s="216"/>
      <c r="AE283" s="216"/>
      <c r="AF283" s="216"/>
      <c r="AG283" s="216"/>
      <c r="AH283" s="216"/>
      <c r="AI283" s="216"/>
      <c r="AJ283" s="216"/>
      <c r="AK283" s="216"/>
      <c r="AL283" s="216"/>
      <c r="AM283" s="216"/>
      <c r="AN283" s="216"/>
    </row>
    <row r="284">
      <c r="B284" s="267"/>
      <c r="C284" s="266"/>
      <c r="D284" s="266"/>
      <c r="E284" s="266"/>
      <c r="F284" s="266"/>
      <c r="G284" s="266"/>
      <c r="H284" s="266"/>
      <c r="I284" s="266"/>
      <c r="J284" s="266"/>
      <c r="K284" s="266"/>
      <c r="L284" s="266"/>
      <c r="M284" s="266"/>
      <c r="N284" s="266"/>
      <c r="O284" s="266"/>
      <c r="P284" s="266"/>
      <c r="Q284" s="266"/>
      <c r="R284" s="266"/>
      <c r="S284" s="216"/>
      <c r="T284" s="216"/>
      <c r="U284" s="217"/>
      <c r="V284" s="216"/>
      <c r="W284" s="216"/>
      <c r="X284" s="216"/>
      <c r="Y284" s="216"/>
      <c r="Z284" s="216"/>
      <c r="AA284" s="216"/>
      <c r="AB284" s="216"/>
      <c r="AC284" s="216"/>
      <c r="AD284" s="216"/>
      <c r="AE284" s="216"/>
      <c r="AF284" s="216"/>
      <c r="AG284" s="216"/>
      <c r="AH284" s="216"/>
      <c r="AI284" s="216"/>
      <c r="AJ284" s="216"/>
      <c r="AK284" s="216"/>
      <c r="AL284" s="216"/>
      <c r="AM284" s="216"/>
      <c r="AN284" s="216"/>
    </row>
    <row r="285">
      <c r="B285" s="267"/>
      <c r="C285" s="266"/>
      <c r="D285" s="266"/>
      <c r="E285" s="266"/>
      <c r="F285" s="266"/>
      <c r="G285" s="266"/>
      <c r="H285" s="266"/>
      <c r="I285" s="266"/>
      <c r="J285" s="266"/>
      <c r="K285" s="266"/>
      <c r="L285" s="266"/>
      <c r="M285" s="266"/>
      <c r="N285" s="266"/>
      <c r="O285" s="266"/>
      <c r="P285" s="266"/>
      <c r="Q285" s="266"/>
      <c r="R285" s="266"/>
      <c r="S285" s="216"/>
      <c r="T285" s="216"/>
      <c r="U285" s="217"/>
      <c r="V285" s="216"/>
      <c r="W285" s="216"/>
      <c r="X285" s="216"/>
      <c r="Y285" s="216"/>
      <c r="Z285" s="216"/>
      <c r="AA285" s="216"/>
      <c r="AB285" s="216"/>
      <c r="AC285" s="216"/>
      <c r="AD285" s="216"/>
      <c r="AE285" s="216"/>
      <c r="AF285" s="216"/>
      <c r="AG285" s="216"/>
      <c r="AH285" s="216"/>
      <c r="AI285" s="216"/>
      <c r="AJ285" s="216"/>
      <c r="AK285" s="216"/>
      <c r="AL285" s="216"/>
      <c r="AM285" s="216"/>
      <c r="AN285" s="216"/>
    </row>
    <row r="286">
      <c r="B286" s="267"/>
      <c r="C286" s="266"/>
      <c r="D286" s="266"/>
      <c r="E286" s="266"/>
      <c r="F286" s="266"/>
      <c r="G286" s="266"/>
      <c r="H286" s="266"/>
      <c r="I286" s="266"/>
      <c r="J286" s="266"/>
      <c r="K286" s="266"/>
      <c r="L286" s="266"/>
      <c r="M286" s="266"/>
      <c r="N286" s="266"/>
      <c r="O286" s="266"/>
      <c r="P286" s="266"/>
      <c r="Q286" s="266"/>
      <c r="R286" s="266"/>
      <c r="S286" s="216"/>
      <c r="T286" s="216"/>
      <c r="U286" s="217"/>
      <c r="V286" s="216"/>
      <c r="W286" s="216"/>
      <c r="X286" s="216"/>
      <c r="Y286" s="216"/>
      <c r="Z286" s="216"/>
      <c r="AA286" s="216"/>
      <c r="AB286" s="216"/>
      <c r="AC286" s="216"/>
      <c r="AD286" s="216"/>
      <c r="AE286" s="216"/>
      <c r="AF286" s="216"/>
      <c r="AG286" s="216"/>
      <c r="AH286" s="216"/>
      <c r="AI286" s="216"/>
      <c r="AJ286" s="216"/>
      <c r="AK286" s="216"/>
      <c r="AL286" s="216"/>
      <c r="AM286" s="216"/>
      <c r="AN286" s="216"/>
    </row>
    <row r="287">
      <c r="B287" s="267"/>
      <c r="C287" s="266"/>
      <c r="D287" s="266"/>
      <c r="E287" s="266"/>
      <c r="F287" s="266"/>
      <c r="G287" s="266"/>
      <c r="H287" s="266"/>
      <c r="I287" s="266"/>
      <c r="J287" s="266"/>
      <c r="K287" s="266"/>
      <c r="L287" s="266"/>
      <c r="M287" s="266"/>
      <c r="N287" s="266"/>
      <c r="O287" s="266"/>
      <c r="P287" s="266"/>
      <c r="Q287" s="266"/>
      <c r="R287" s="266"/>
      <c r="S287" s="216"/>
      <c r="T287" s="216"/>
      <c r="U287" s="217"/>
      <c r="V287" s="216"/>
      <c r="W287" s="216"/>
      <c r="X287" s="216"/>
      <c r="Y287" s="216"/>
      <c r="Z287" s="216"/>
      <c r="AA287" s="216"/>
      <c r="AB287" s="216"/>
      <c r="AC287" s="216"/>
      <c r="AD287" s="216"/>
      <c r="AE287" s="216"/>
      <c r="AF287" s="216"/>
      <c r="AG287" s="216"/>
      <c r="AH287" s="216"/>
      <c r="AI287" s="216"/>
      <c r="AJ287" s="216"/>
      <c r="AK287" s="216"/>
      <c r="AL287" s="216"/>
      <c r="AM287" s="216"/>
      <c r="AN287" s="216"/>
    </row>
    <row r="288">
      <c r="B288" s="267"/>
      <c r="C288" s="266"/>
      <c r="D288" s="266"/>
      <c r="E288" s="266"/>
      <c r="F288" s="266"/>
      <c r="G288" s="266"/>
      <c r="H288" s="266"/>
      <c r="I288" s="266"/>
      <c r="J288" s="266"/>
      <c r="K288" s="266"/>
      <c r="L288" s="266"/>
      <c r="M288" s="266"/>
      <c r="N288" s="266"/>
      <c r="O288" s="266"/>
      <c r="P288" s="266"/>
      <c r="Q288" s="266"/>
      <c r="R288" s="266"/>
      <c r="S288" s="216"/>
      <c r="T288" s="216"/>
      <c r="U288" s="217"/>
      <c r="V288" s="216"/>
      <c r="W288" s="216"/>
      <c r="X288" s="216"/>
      <c r="Y288" s="216"/>
      <c r="Z288" s="216"/>
      <c r="AA288" s="216"/>
      <c r="AB288" s="216"/>
      <c r="AC288" s="216"/>
      <c r="AD288" s="216"/>
      <c r="AE288" s="216"/>
      <c r="AF288" s="216"/>
      <c r="AG288" s="216"/>
      <c r="AH288" s="216"/>
      <c r="AI288" s="216"/>
      <c r="AJ288" s="216"/>
      <c r="AK288" s="216"/>
      <c r="AL288" s="216"/>
      <c r="AM288" s="216"/>
      <c r="AN288" s="216"/>
    </row>
    <row r="289">
      <c r="B289" s="267"/>
      <c r="C289" s="266"/>
      <c r="D289" s="266"/>
      <c r="E289" s="266"/>
      <c r="F289" s="266"/>
      <c r="G289" s="266"/>
      <c r="H289" s="266"/>
      <c r="I289" s="266"/>
      <c r="J289" s="266"/>
      <c r="K289" s="266"/>
      <c r="L289" s="266"/>
      <c r="M289" s="266"/>
      <c r="N289" s="266"/>
      <c r="O289" s="266"/>
      <c r="P289" s="266"/>
      <c r="Q289" s="266"/>
      <c r="R289" s="266"/>
      <c r="S289" s="216"/>
      <c r="T289" s="216"/>
      <c r="U289" s="217"/>
      <c r="V289" s="216"/>
      <c r="W289" s="216"/>
      <c r="X289" s="216"/>
      <c r="Y289" s="216"/>
      <c r="Z289" s="216"/>
      <c r="AA289" s="216"/>
      <c r="AB289" s="216"/>
      <c r="AC289" s="216"/>
      <c r="AD289" s="216"/>
      <c r="AE289" s="216"/>
      <c r="AF289" s="216"/>
      <c r="AG289" s="216"/>
      <c r="AH289" s="216"/>
      <c r="AI289" s="216"/>
      <c r="AJ289" s="216"/>
      <c r="AK289" s="216"/>
      <c r="AL289" s="216"/>
      <c r="AM289" s="216"/>
      <c r="AN289" s="216"/>
    </row>
    <row r="290">
      <c r="B290" s="267"/>
      <c r="C290" s="266"/>
      <c r="D290" s="266"/>
      <c r="E290" s="266"/>
      <c r="F290" s="266"/>
      <c r="G290" s="266"/>
      <c r="H290" s="266"/>
      <c r="I290" s="266"/>
      <c r="J290" s="266"/>
      <c r="K290" s="266"/>
      <c r="L290" s="266"/>
      <c r="M290" s="266"/>
      <c r="N290" s="266"/>
      <c r="O290" s="266"/>
      <c r="P290" s="266"/>
      <c r="Q290" s="266"/>
      <c r="R290" s="266"/>
      <c r="S290" s="216"/>
      <c r="T290" s="216"/>
      <c r="U290" s="217"/>
      <c r="V290" s="216"/>
      <c r="W290" s="216"/>
      <c r="X290" s="216"/>
      <c r="Y290" s="216"/>
      <c r="Z290" s="216"/>
      <c r="AA290" s="216"/>
      <c r="AB290" s="216"/>
      <c r="AC290" s="216"/>
      <c r="AD290" s="216"/>
      <c r="AE290" s="216"/>
      <c r="AF290" s="216"/>
      <c r="AG290" s="216"/>
      <c r="AH290" s="216"/>
      <c r="AI290" s="216"/>
      <c r="AJ290" s="216"/>
      <c r="AK290" s="216"/>
      <c r="AL290" s="216"/>
      <c r="AM290" s="216"/>
      <c r="AN290" s="216"/>
    </row>
    <row r="291">
      <c r="B291" s="267"/>
      <c r="C291" s="266"/>
      <c r="D291" s="266"/>
      <c r="E291" s="266"/>
      <c r="F291" s="266"/>
      <c r="G291" s="266"/>
      <c r="H291" s="266"/>
      <c r="I291" s="266"/>
      <c r="J291" s="266"/>
      <c r="K291" s="266"/>
      <c r="L291" s="266"/>
      <c r="M291" s="266"/>
      <c r="N291" s="266"/>
      <c r="O291" s="266"/>
      <c r="P291" s="266"/>
      <c r="Q291" s="266"/>
      <c r="R291" s="266"/>
      <c r="S291" s="216"/>
      <c r="T291" s="216"/>
      <c r="U291" s="217"/>
      <c r="V291" s="216"/>
      <c r="W291" s="216"/>
      <c r="X291" s="216"/>
      <c r="Y291" s="216"/>
      <c r="Z291" s="216"/>
      <c r="AA291" s="216"/>
      <c r="AB291" s="216"/>
      <c r="AC291" s="216"/>
      <c r="AD291" s="216"/>
      <c r="AE291" s="216"/>
      <c r="AF291" s="216"/>
      <c r="AG291" s="216"/>
      <c r="AH291" s="216"/>
      <c r="AI291" s="216"/>
      <c r="AJ291" s="216"/>
      <c r="AK291" s="216"/>
      <c r="AL291" s="216"/>
      <c r="AM291" s="216"/>
      <c r="AN291" s="216"/>
    </row>
    <row r="292">
      <c r="B292" s="267"/>
      <c r="C292" s="266"/>
      <c r="D292" s="266"/>
      <c r="E292" s="266"/>
      <c r="F292" s="266"/>
      <c r="G292" s="266"/>
      <c r="H292" s="266"/>
      <c r="I292" s="266"/>
      <c r="J292" s="266"/>
      <c r="K292" s="266"/>
      <c r="L292" s="266"/>
      <c r="M292" s="266"/>
      <c r="N292" s="266"/>
      <c r="O292" s="266"/>
      <c r="P292" s="266"/>
      <c r="Q292" s="266"/>
      <c r="R292" s="266"/>
      <c r="S292" s="216"/>
      <c r="T292" s="216"/>
      <c r="U292" s="217"/>
      <c r="V292" s="216"/>
      <c r="W292" s="216"/>
      <c r="X292" s="216"/>
      <c r="Y292" s="216"/>
      <c r="Z292" s="216"/>
      <c r="AA292" s="216"/>
      <c r="AB292" s="216"/>
      <c r="AC292" s="216"/>
      <c r="AD292" s="216"/>
      <c r="AE292" s="216"/>
      <c r="AF292" s="216"/>
      <c r="AG292" s="216"/>
      <c r="AH292" s="216"/>
      <c r="AI292" s="216"/>
      <c r="AJ292" s="216"/>
      <c r="AK292" s="216"/>
      <c r="AL292" s="216"/>
      <c r="AM292" s="216"/>
      <c r="AN292" s="216"/>
    </row>
    <row r="293">
      <c r="B293" s="267"/>
      <c r="C293" s="266"/>
      <c r="D293" s="266"/>
      <c r="E293" s="266"/>
      <c r="F293" s="266"/>
      <c r="G293" s="266"/>
      <c r="H293" s="266"/>
      <c r="I293" s="266"/>
      <c r="J293" s="266"/>
      <c r="K293" s="266"/>
      <c r="L293" s="266"/>
      <c r="M293" s="266"/>
      <c r="N293" s="266"/>
      <c r="O293" s="266"/>
      <c r="P293" s="266"/>
      <c r="Q293" s="266"/>
      <c r="R293" s="266"/>
      <c r="S293" s="216"/>
      <c r="T293" s="216"/>
      <c r="U293" s="217"/>
      <c r="V293" s="216"/>
      <c r="W293" s="216"/>
      <c r="X293" s="216"/>
      <c r="Y293" s="216"/>
      <c r="Z293" s="216"/>
      <c r="AA293" s="216"/>
      <c r="AB293" s="216"/>
      <c r="AC293" s="216"/>
      <c r="AD293" s="216"/>
      <c r="AE293" s="216"/>
      <c r="AF293" s="216"/>
      <c r="AG293" s="216"/>
      <c r="AH293" s="216"/>
      <c r="AI293" s="216"/>
      <c r="AJ293" s="216"/>
      <c r="AK293" s="216"/>
      <c r="AL293" s="216"/>
      <c r="AM293" s="216"/>
      <c r="AN293" s="216"/>
    </row>
    <row r="294">
      <c r="B294" s="267"/>
      <c r="C294" s="266"/>
      <c r="D294" s="266"/>
      <c r="E294" s="266"/>
      <c r="F294" s="266"/>
      <c r="G294" s="266"/>
      <c r="H294" s="266"/>
      <c r="I294" s="266"/>
      <c r="J294" s="266"/>
      <c r="K294" s="266"/>
      <c r="L294" s="266"/>
      <c r="M294" s="266"/>
      <c r="N294" s="266"/>
      <c r="O294" s="266"/>
      <c r="P294" s="266"/>
      <c r="Q294" s="266"/>
      <c r="R294" s="266"/>
      <c r="S294" s="216"/>
      <c r="T294" s="216"/>
      <c r="U294" s="217"/>
      <c r="V294" s="216"/>
      <c r="W294" s="216"/>
      <c r="X294" s="216"/>
      <c r="Y294" s="216"/>
      <c r="Z294" s="216"/>
      <c r="AA294" s="216"/>
      <c r="AB294" s="216"/>
      <c r="AC294" s="216"/>
      <c r="AD294" s="216"/>
      <c r="AE294" s="216"/>
      <c r="AF294" s="216"/>
      <c r="AG294" s="216"/>
      <c r="AH294" s="216"/>
      <c r="AI294" s="216"/>
      <c r="AJ294" s="216"/>
      <c r="AK294" s="216"/>
      <c r="AL294" s="216"/>
      <c r="AM294" s="216"/>
      <c r="AN294" s="216"/>
    </row>
    <row r="295">
      <c r="B295" s="267"/>
      <c r="C295" s="266"/>
      <c r="D295" s="266"/>
      <c r="E295" s="266"/>
      <c r="F295" s="266"/>
      <c r="G295" s="266"/>
      <c r="H295" s="266"/>
      <c r="I295" s="266"/>
      <c r="J295" s="266"/>
      <c r="K295" s="266"/>
      <c r="L295" s="266"/>
      <c r="M295" s="266"/>
      <c r="N295" s="266"/>
      <c r="O295" s="266"/>
      <c r="P295" s="266"/>
      <c r="Q295" s="266"/>
      <c r="R295" s="266"/>
      <c r="S295" s="216"/>
      <c r="T295" s="216"/>
      <c r="U295" s="217"/>
      <c r="V295" s="216"/>
      <c r="W295" s="216"/>
      <c r="X295" s="216"/>
      <c r="Y295" s="216"/>
      <c r="Z295" s="216"/>
      <c r="AA295" s="216"/>
      <c r="AB295" s="216"/>
      <c r="AC295" s="216"/>
      <c r="AD295" s="216"/>
      <c r="AE295" s="216"/>
      <c r="AF295" s="216"/>
      <c r="AG295" s="216"/>
      <c r="AH295" s="216"/>
      <c r="AI295" s="216"/>
      <c r="AJ295" s="216"/>
      <c r="AK295" s="216"/>
      <c r="AL295" s="216"/>
      <c r="AM295" s="216"/>
      <c r="AN295" s="216"/>
    </row>
    <row r="296">
      <c r="B296" s="267"/>
      <c r="C296" s="266"/>
      <c r="D296" s="266"/>
      <c r="E296" s="266"/>
      <c r="F296" s="266"/>
      <c r="G296" s="266"/>
      <c r="H296" s="266"/>
      <c r="I296" s="266"/>
      <c r="J296" s="266"/>
      <c r="K296" s="266"/>
      <c r="L296" s="266"/>
      <c r="M296" s="266"/>
      <c r="N296" s="266"/>
      <c r="O296" s="266"/>
      <c r="P296" s="266"/>
      <c r="Q296" s="266"/>
      <c r="R296" s="266"/>
      <c r="S296" s="216"/>
      <c r="T296" s="216"/>
      <c r="U296" s="217"/>
      <c r="V296" s="216"/>
      <c r="W296" s="216"/>
      <c r="X296" s="216"/>
      <c r="Y296" s="216"/>
      <c r="Z296" s="216"/>
      <c r="AA296" s="216"/>
      <c r="AB296" s="216"/>
      <c r="AC296" s="216"/>
      <c r="AD296" s="216"/>
      <c r="AE296" s="216"/>
      <c r="AF296" s="216"/>
      <c r="AG296" s="216"/>
      <c r="AH296" s="216"/>
      <c r="AI296" s="216"/>
      <c r="AJ296" s="216"/>
      <c r="AK296" s="216"/>
      <c r="AL296" s="216"/>
      <c r="AM296" s="216"/>
      <c r="AN296" s="216"/>
    </row>
    <row r="297">
      <c r="B297" s="267"/>
      <c r="C297" s="266"/>
      <c r="D297" s="266"/>
      <c r="E297" s="266"/>
      <c r="F297" s="266"/>
      <c r="G297" s="266"/>
      <c r="H297" s="266"/>
      <c r="I297" s="266"/>
      <c r="J297" s="266"/>
      <c r="K297" s="266"/>
      <c r="L297" s="266"/>
      <c r="M297" s="266"/>
      <c r="N297" s="266"/>
      <c r="O297" s="266"/>
      <c r="P297" s="266"/>
      <c r="Q297" s="266"/>
      <c r="R297" s="266"/>
      <c r="S297" s="216"/>
      <c r="T297" s="216"/>
      <c r="U297" s="217"/>
      <c r="V297" s="216"/>
      <c r="W297" s="216"/>
      <c r="X297" s="216"/>
      <c r="Y297" s="216"/>
      <c r="Z297" s="216"/>
      <c r="AA297" s="216"/>
      <c r="AB297" s="216"/>
      <c r="AC297" s="216"/>
      <c r="AD297" s="216"/>
      <c r="AE297" s="216"/>
      <c r="AF297" s="216"/>
      <c r="AG297" s="216"/>
      <c r="AH297" s="216"/>
      <c r="AI297" s="216"/>
      <c r="AJ297" s="216"/>
      <c r="AK297" s="216"/>
      <c r="AL297" s="216"/>
      <c r="AM297" s="216"/>
      <c r="AN297" s="216"/>
    </row>
    <row r="298">
      <c r="B298" s="267"/>
      <c r="C298" s="266"/>
      <c r="D298" s="266"/>
      <c r="E298" s="266"/>
      <c r="F298" s="266"/>
      <c r="G298" s="266"/>
      <c r="H298" s="266"/>
      <c r="I298" s="266"/>
      <c r="J298" s="266"/>
      <c r="K298" s="266"/>
      <c r="L298" s="266"/>
      <c r="M298" s="266"/>
      <c r="N298" s="266"/>
      <c r="O298" s="266"/>
      <c r="P298" s="266"/>
      <c r="Q298" s="266"/>
      <c r="R298" s="266"/>
      <c r="S298" s="216"/>
      <c r="T298" s="216"/>
      <c r="U298" s="217"/>
      <c r="V298" s="216"/>
      <c r="W298" s="216"/>
      <c r="X298" s="216"/>
      <c r="Y298" s="216"/>
      <c r="Z298" s="216"/>
      <c r="AA298" s="216"/>
      <c r="AB298" s="216"/>
      <c r="AC298" s="216"/>
      <c r="AD298" s="216"/>
      <c r="AE298" s="216"/>
      <c r="AF298" s="216"/>
      <c r="AG298" s="216"/>
      <c r="AH298" s="216"/>
      <c r="AI298" s="216"/>
      <c r="AJ298" s="216"/>
      <c r="AK298" s="216"/>
      <c r="AL298" s="216"/>
      <c r="AM298" s="216"/>
      <c r="AN298" s="216"/>
    </row>
    <row r="299">
      <c r="B299" s="267"/>
      <c r="C299" s="266"/>
      <c r="D299" s="266"/>
      <c r="E299" s="266"/>
      <c r="F299" s="266"/>
      <c r="G299" s="266"/>
      <c r="H299" s="266"/>
      <c r="I299" s="266"/>
      <c r="J299" s="266"/>
      <c r="K299" s="266"/>
      <c r="L299" s="266"/>
      <c r="M299" s="266"/>
      <c r="N299" s="266"/>
      <c r="O299" s="266"/>
      <c r="P299" s="266"/>
      <c r="Q299" s="266"/>
      <c r="R299" s="266"/>
      <c r="S299" s="216"/>
      <c r="T299" s="216"/>
      <c r="U299" s="217"/>
      <c r="V299" s="216"/>
      <c r="W299" s="216"/>
      <c r="X299" s="216"/>
      <c r="Y299" s="216"/>
      <c r="Z299" s="216"/>
      <c r="AA299" s="216"/>
      <c r="AB299" s="216"/>
      <c r="AC299" s="216"/>
      <c r="AD299" s="216"/>
      <c r="AE299" s="216"/>
      <c r="AF299" s="216"/>
      <c r="AG299" s="216"/>
      <c r="AH299" s="216"/>
      <c r="AI299" s="216"/>
      <c r="AJ299" s="216"/>
      <c r="AK299" s="216"/>
      <c r="AL299" s="216"/>
      <c r="AM299" s="216"/>
      <c r="AN299" s="216"/>
    </row>
    <row r="300">
      <c r="B300" s="267"/>
      <c r="C300" s="266"/>
      <c r="D300" s="266"/>
      <c r="E300" s="266"/>
      <c r="F300" s="266"/>
      <c r="G300" s="266"/>
      <c r="H300" s="266"/>
      <c r="I300" s="266"/>
      <c r="J300" s="266"/>
      <c r="K300" s="266"/>
      <c r="L300" s="266"/>
      <c r="M300" s="266"/>
      <c r="N300" s="266"/>
      <c r="O300" s="266"/>
      <c r="P300" s="266"/>
      <c r="Q300" s="266"/>
      <c r="R300" s="266"/>
      <c r="S300" s="216"/>
      <c r="T300" s="216"/>
      <c r="U300" s="217"/>
      <c r="V300" s="216"/>
      <c r="W300" s="216"/>
      <c r="X300" s="216"/>
      <c r="Y300" s="216"/>
      <c r="Z300" s="216"/>
      <c r="AA300" s="216"/>
      <c r="AB300" s="216"/>
      <c r="AC300" s="216"/>
      <c r="AD300" s="216"/>
      <c r="AE300" s="216"/>
      <c r="AF300" s="216"/>
      <c r="AG300" s="216"/>
      <c r="AH300" s="216"/>
      <c r="AI300" s="216"/>
      <c r="AJ300" s="216"/>
      <c r="AK300" s="216"/>
      <c r="AL300" s="216"/>
      <c r="AM300" s="216"/>
      <c r="AN300" s="216"/>
    </row>
    <row r="301">
      <c r="B301" s="267"/>
      <c r="C301" s="266"/>
      <c r="D301" s="266"/>
      <c r="E301" s="266"/>
      <c r="F301" s="266"/>
      <c r="G301" s="266"/>
      <c r="H301" s="266"/>
      <c r="I301" s="266"/>
      <c r="J301" s="266"/>
      <c r="K301" s="266"/>
      <c r="L301" s="266"/>
      <c r="M301" s="266"/>
      <c r="N301" s="266"/>
      <c r="O301" s="266"/>
      <c r="P301" s="266"/>
      <c r="Q301" s="266"/>
      <c r="R301" s="266"/>
      <c r="S301" s="216"/>
      <c r="T301" s="216"/>
      <c r="U301" s="217"/>
      <c r="V301" s="216"/>
      <c r="W301" s="216"/>
      <c r="X301" s="216"/>
      <c r="Y301" s="216"/>
      <c r="Z301" s="216"/>
      <c r="AA301" s="216"/>
      <c r="AB301" s="216"/>
      <c r="AC301" s="216"/>
      <c r="AD301" s="216"/>
      <c r="AE301" s="216"/>
      <c r="AF301" s="216"/>
      <c r="AG301" s="216"/>
      <c r="AH301" s="216"/>
      <c r="AI301" s="216"/>
      <c r="AJ301" s="216"/>
      <c r="AK301" s="216"/>
      <c r="AL301" s="216"/>
      <c r="AM301" s="216"/>
      <c r="AN301" s="216"/>
    </row>
    <row r="302">
      <c r="B302" s="267"/>
      <c r="C302" s="266"/>
      <c r="D302" s="266"/>
      <c r="E302" s="266"/>
      <c r="F302" s="266"/>
      <c r="G302" s="266"/>
      <c r="H302" s="266"/>
      <c r="I302" s="266"/>
      <c r="J302" s="266"/>
      <c r="K302" s="266"/>
      <c r="L302" s="266"/>
      <c r="M302" s="266"/>
      <c r="N302" s="266"/>
      <c r="O302" s="266"/>
      <c r="P302" s="266"/>
      <c r="Q302" s="266"/>
      <c r="R302" s="266"/>
      <c r="S302" s="216"/>
      <c r="T302" s="216"/>
      <c r="U302" s="217"/>
      <c r="V302" s="216"/>
      <c r="W302" s="216"/>
      <c r="X302" s="216"/>
      <c r="Y302" s="216"/>
      <c r="Z302" s="216"/>
      <c r="AA302" s="216"/>
      <c r="AB302" s="216"/>
      <c r="AC302" s="216"/>
      <c r="AD302" s="216"/>
      <c r="AE302" s="216"/>
      <c r="AF302" s="216"/>
      <c r="AG302" s="216"/>
      <c r="AH302" s="216"/>
      <c r="AI302" s="216"/>
      <c r="AJ302" s="216"/>
      <c r="AK302" s="216"/>
      <c r="AL302" s="216"/>
      <c r="AM302" s="216"/>
      <c r="AN302" s="216"/>
    </row>
    <row r="303">
      <c r="B303" s="267"/>
      <c r="C303" s="266"/>
      <c r="D303" s="266"/>
      <c r="E303" s="266"/>
      <c r="F303" s="266"/>
      <c r="G303" s="266"/>
      <c r="H303" s="266"/>
      <c r="I303" s="266"/>
      <c r="J303" s="266"/>
      <c r="K303" s="266"/>
      <c r="L303" s="266"/>
      <c r="M303" s="266"/>
      <c r="N303" s="266"/>
      <c r="O303" s="266"/>
      <c r="P303" s="266"/>
      <c r="Q303" s="266"/>
      <c r="R303" s="266"/>
      <c r="S303" s="216"/>
      <c r="T303" s="216"/>
      <c r="U303" s="217"/>
      <c r="V303" s="216"/>
      <c r="W303" s="216"/>
      <c r="X303" s="216"/>
      <c r="Y303" s="216"/>
      <c r="Z303" s="216"/>
      <c r="AA303" s="216"/>
      <c r="AB303" s="216"/>
      <c r="AC303" s="216"/>
      <c r="AD303" s="216"/>
      <c r="AE303" s="216"/>
      <c r="AF303" s="216"/>
      <c r="AG303" s="216"/>
      <c r="AH303" s="216"/>
      <c r="AI303" s="216"/>
      <c r="AJ303" s="216"/>
      <c r="AK303" s="216"/>
      <c r="AL303" s="216"/>
      <c r="AM303" s="216"/>
      <c r="AN303" s="216"/>
    </row>
    <row r="304">
      <c r="B304" s="267"/>
      <c r="C304" s="266"/>
      <c r="D304" s="266"/>
      <c r="E304" s="266"/>
      <c r="F304" s="266"/>
      <c r="G304" s="266"/>
      <c r="H304" s="266"/>
      <c r="I304" s="266"/>
      <c r="J304" s="266"/>
      <c r="K304" s="266"/>
      <c r="L304" s="266"/>
      <c r="M304" s="266"/>
      <c r="N304" s="266"/>
      <c r="O304" s="266"/>
      <c r="P304" s="266"/>
      <c r="Q304" s="266"/>
      <c r="R304" s="266"/>
      <c r="S304" s="216"/>
      <c r="T304" s="216"/>
      <c r="U304" s="217"/>
      <c r="V304" s="216"/>
      <c r="W304" s="216"/>
      <c r="X304" s="216"/>
      <c r="Y304" s="216"/>
      <c r="Z304" s="216"/>
      <c r="AA304" s="216"/>
      <c r="AB304" s="216"/>
      <c r="AC304" s="216"/>
      <c r="AD304" s="216"/>
      <c r="AE304" s="216"/>
      <c r="AF304" s="216"/>
      <c r="AG304" s="216"/>
      <c r="AH304" s="216"/>
      <c r="AI304" s="216"/>
      <c r="AJ304" s="216"/>
      <c r="AK304" s="216"/>
      <c r="AL304" s="216"/>
      <c r="AM304" s="216"/>
      <c r="AN304" s="216"/>
    </row>
    <row r="305">
      <c r="B305" s="267"/>
      <c r="C305" s="266"/>
      <c r="D305" s="266"/>
      <c r="E305" s="266"/>
      <c r="F305" s="266"/>
      <c r="G305" s="266"/>
      <c r="H305" s="266"/>
      <c r="I305" s="266"/>
      <c r="J305" s="266"/>
      <c r="K305" s="266"/>
      <c r="L305" s="266"/>
      <c r="M305" s="266"/>
      <c r="N305" s="266"/>
      <c r="O305" s="266"/>
      <c r="P305" s="266"/>
      <c r="Q305" s="266"/>
      <c r="R305" s="266"/>
      <c r="S305" s="216"/>
      <c r="T305" s="216"/>
      <c r="U305" s="217"/>
      <c r="V305" s="216"/>
      <c r="W305" s="216"/>
      <c r="X305" s="216"/>
      <c r="Y305" s="216"/>
      <c r="Z305" s="216"/>
      <c r="AA305" s="216"/>
      <c r="AB305" s="216"/>
      <c r="AC305" s="216"/>
      <c r="AD305" s="216"/>
      <c r="AE305" s="216"/>
      <c r="AF305" s="216"/>
      <c r="AG305" s="216"/>
      <c r="AH305" s="216"/>
      <c r="AI305" s="216"/>
      <c r="AJ305" s="216"/>
      <c r="AK305" s="216"/>
      <c r="AL305" s="216"/>
      <c r="AM305" s="216"/>
      <c r="AN305" s="216"/>
    </row>
    <row r="306">
      <c r="B306" s="267"/>
      <c r="C306" s="266"/>
      <c r="D306" s="266"/>
      <c r="E306" s="266"/>
      <c r="F306" s="266"/>
      <c r="G306" s="266"/>
      <c r="H306" s="266"/>
      <c r="I306" s="266"/>
      <c r="J306" s="266"/>
      <c r="K306" s="266"/>
      <c r="L306" s="266"/>
      <c r="M306" s="266"/>
      <c r="N306" s="266"/>
      <c r="O306" s="266"/>
      <c r="P306" s="266"/>
      <c r="Q306" s="266"/>
      <c r="R306" s="266"/>
      <c r="S306" s="216"/>
      <c r="T306" s="216"/>
      <c r="U306" s="217"/>
      <c r="V306" s="216"/>
      <c r="W306" s="216"/>
      <c r="X306" s="216"/>
      <c r="Y306" s="216"/>
      <c r="Z306" s="216"/>
      <c r="AA306" s="216"/>
      <c r="AB306" s="216"/>
      <c r="AC306" s="216"/>
      <c r="AD306" s="216"/>
      <c r="AE306" s="216"/>
      <c r="AF306" s="216"/>
      <c r="AG306" s="216"/>
      <c r="AH306" s="216"/>
      <c r="AI306" s="216"/>
      <c r="AJ306" s="216"/>
      <c r="AK306" s="216"/>
      <c r="AL306" s="216"/>
      <c r="AM306" s="216"/>
      <c r="AN306" s="216"/>
    </row>
    <row r="307">
      <c r="B307" s="267"/>
      <c r="C307" s="266"/>
      <c r="D307" s="266"/>
      <c r="E307" s="266"/>
      <c r="F307" s="266"/>
      <c r="G307" s="266"/>
      <c r="H307" s="266"/>
      <c r="I307" s="266"/>
      <c r="J307" s="266"/>
      <c r="K307" s="266"/>
      <c r="L307" s="266"/>
      <c r="M307" s="266"/>
      <c r="N307" s="266"/>
      <c r="O307" s="266"/>
      <c r="P307" s="266"/>
      <c r="Q307" s="266"/>
      <c r="R307" s="266"/>
      <c r="S307" s="216"/>
      <c r="T307" s="216"/>
      <c r="U307" s="217"/>
      <c r="V307" s="216"/>
      <c r="W307" s="216"/>
      <c r="X307" s="216"/>
      <c r="Y307" s="216"/>
      <c r="Z307" s="216"/>
      <c r="AA307" s="216"/>
      <c r="AB307" s="216"/>
      <c r="AC307" s="216"/>
      <c r="AD307" s="216"/>
      <c r="AE307" s="216"/>
      <c r="AF307" s="216"/>
      <c r="AG307" s="216"/>
      <c r="AH307" s="216"/>
      <c r="AI307" s="216"/>
      <c r="AJ307" s="216"/>
      <c r="AK307" s="216"/>
      <c r="AL307" s="216"/>
      <c r="AM307" s="216"/>
      <c r="AN307" s="216"/>
    </row>
    <row r="308">
      <c r="B308" s="267"/>
      <c r="C308" s="266"/>
      <c r="D308" s="266"/>
      <c r="E308" s="266"/>
      <c r="F308" s="266"/>
      <c r="G308" s="266"/>
      <c r="H308" s="266"/>
      <c r="I308" s="266"/>
      <c r="J308" s="266"/>
      <c r="K308" s="266"/>
      <c r="L308" s="266"/>
      <c r="M308" s="266"/>
      <c r="N308" s="266"/>
      <c r="O308" s="266"/>
      <c r="P308" s="266"/>
      <c r="Q308" s="266"/>
      <c r="R308" s="266"/>
      <c r="S308" s="216"/>
      <c r="T308" s="216"/>
      <c r="U308" s="217"/>
      <c r="V308" s="216"/>
      <c r="W308" s="216"/>
      <c r="X308" s="216"/>
      <c r="Y308" s="216"/>
      <c r="Z308" s="216"/>
      <c r="AA308" s="216"/>
      <c r="AB308" s="216"/>
      <c r="AC308" s="216"/>
      <c r="AD308" s="216"/>
      <c r="AE308" s="216"/>
      <c r="AF308" s="216"/>
      <c r="AG308" s="216"/>
      <c r="AH308" s="216"/>
      <c r="AI308" s="216"/>
      <c r="AJ308" s="216"/>
      <c r="AK308" s="216"/>
      <c r="AL308" s="216"/>
      <c r="AM308" s="216"/>
      <c r="AN308" s="216"/>
    </row>
    <row r="309">
      <c r="B309" s="267"/>
      <c r="C309" s="266"/>
      <c r="D309" s="266"/>
      <c r="E309" s="266"/>
      <c r="F309" s="266"/>
      <c r="G309" s="266"/>
      <c r="H309" s="266"/>
      <c r="I309" s="266"/>
      <c r="J309" s="266"/>
      <c r="K309" s="266"/>
      <c r="L309" s="266"/>
      <c r="M309" s="266"/>
      <c r="N309" s="266"/>
      <c r="O309" s="266"/>
      <c r="P309" s="266"/>
      <c r="Q309" s="266"/>
      <c r="R309" s="266"/>
      <c r="S309" s="216"/>
      <c r="T309" s="216"/>
      <c r="U309" s="217"/>
      <c r="V309" s="216"/>
      <c r="W309" s="216"/>
      <c r="X309" s="216"/>
      <c r="Y309" s="216"/>
      <c r="Z309" s="216"/>
      <c r="AA309" s="216"/>
      <c r="AB309" s="216"/>
      <c r="AC309" s="216"/>
      <c r="AD309" s="216"/>
      <c r="AE309" s="216"/>
      <c r="AF309" s="216"/>
      <c r="AG309" s="216"/>
      <c r="AH309" s="216"/>
      <c r="AI309" s="216"/>
      <c r="AJ309" s="216"/>
      <c r="AK309" s="216"/>
      <c r="AL309" s="216"/>
      <c r="AM309" s="216"/>
      <c r="AN309" s="216"/>
    </row>
    <row r="310">
      <c r="B310" s="267"/>
      <c r="C310" s="266"/>
      <c r="D310" s="266"/>
      <c r="E310" s="266"/>
      <c r="F310" s="266"/>
      <c r="G310" s="266"/>
      <c r="H310" s="266"/>
      <c r="I310" s="266"/>
      <c r="J310" s="266"/>
      <c r="K310" s="266"/>
      <c r="L310" s="266"/>
      <c r="M310" s="266"/>
      <c r="N310" s="266"/>
      <c r="O310" s="266"/>
      <c r="P310" s="266"/>
      <c r="Q310" s="266"/>
      <c r="R310" s="266"/>
      <c r="S310" s="216"/>
      <c r="T310" s="216"/>
      <c r="U310" s="217"/>
      <c r="V310" s="216"/>
      <c r="W310" s="216"/>
      <c r="X310" s="216"/>
      <c r="Y310" s="216"/>
      <c r="Z310" s="216"/>
      <c r="AA310" s="216"/>
      <c r="AB310" s="216"/>
      <c r="AC310" s="216"/>
      <c r="AD310" s="216"/>
      <c r="AE310" s="216"/>
      <c r="AF310" s="216"/>
      <c r="AG310" s="216"/>
      <c r="AH310" s="216"/>
      <c r="AI310" s="216"/>
      <c r="AJ310" s="216"/>
      <c r="AK310" s="216"/>
      <c r="AL310" s="216"/>
      <c r="AM310" s="216"/>
      <c r="AN310" s="216"/>
    </row>
    <row r="311">
      <c r="B311" s="267"/>
      <c r="C311" s="266"/>
      <c r="D311" s="266"/>
      <c r="E311" s="266"/>
      <c r="F311" s="266"/>
      <c r="G311" s="266"/>
      <c r="H311" s="266"/>
      <c r="I311" s="266"/>
      <c r="J311" s="266"/>
      <c r="K311" s="266"/>
      <c r="L311" s="266"/>
      <c r="M311" s="266"/>
      <c r="N311" s="266"/>
      <c r="O311" s="266"/>
      <c r="P311" s="266"/>
      <c r="Q311" s="266"/>
      <c r="R311" s="266"/>
      <c r="S311" s="216"/>
      <c r="T311" s="216"/>
      <c r="U311" s="217"/>
      <c r="V311" s="216"/>
      <c r="W311" s="216"/>
      <c r="X311" s="216"/>
      <c r="Y311" s="216"/>
      <c r="Z311" s="216"/>
      <c r="AA311" s="216"/>
      <c r="AB311" s="216"/>
      <c r="AC311" s="216"/>
      <c r="AD311" s="216"/>
      <c r="AE311" s="216"/>
      <c r="AF311" s="216"/>
      <c r="AG311" s="216"/>
      <c r="AH311" s="216"/>
      <c r="AI311" s="216"/>
      <c r="AJ311" s="216"/>
      <c r="AK311" s="216"/>
      <c r="AL311" s="216"/>
      <c r="AM311" s="216"/>
      <c r="AN311" s="216"/>
    </row>
    <row r="312">
      <c r="B312" s="267"/>
      <c r="C312" s="266"/>
      <c r="D312" s="266"/>
      <c r="E312" s="266"/>
      <c r="F312" s="266"/>
      <c r="G312" s="266"/>
      <c r="H312" s="266"/>
      <c r="I312" s="266"/>
      <c r="J312" s="266"/>
      <c r="K312" s="266"/>
      <c r="L312" s="266"/>
      <c r="M312" s="266"/>
      <c r="N312" s="266"/>
      <c r="O312" s="266"/>
      <c r="P312" s="266"/>
      <c r="Q312" s="266"/>
      <c r="R312" s="266"/>
      <c r="S312" s="216"/>
      <c r="T312" s="216"/>
      <c r="U312" s="217"/>
      <c r="V312" s="216"/>
      <c r="W312" s="216"/>
      <c r="X312" s="216"/>
      <c r="Y312" s="216"/>
      <c r="Z312" s="216"/>
      <c r="AA312" s="216"/>
      <c r="AB312" s="216"/>
      <c r="AC312" s="216"/>
      <c r="AD312" s="216"/>
      <c r="AE312" s="216"/>
      <c r="AF312" s="216"/>
      <c r="AG312" s="216"/>
      <c r="AH312" s="216"/>
      <c r="AI312" s="216"/>
      <c r="AJ312" s="216"/>
      <c r="AK312" s="216"/>
      <c r="AL312" s="216"/>
      <c r="AM312" s="216"/>
      <c r="AN312" s="216"/>
    </row>
    <row r="313">
      <c r="B313" s="267"/>
      <c r="C313" s="266"/>
      <c r="D313" s="266"/>
      <c r="E313" s="266"/>
      <c r="F313" s="266"/>
      <c r="G313" s="266"/>
      <c r="H313" s="266"/>
      <c r="I313" s="266"/>
      <c r="J313" s="266"/>
      <c r="K313" s="266"/>
      <c r="L313" s="266"/>
      <c r="M313" s="266"/>
      <c r="N313" s="266"/>
      <c r="O313" s="266"/>
      <c r="P313" s="266"/>
      <c r="Q313" s="266"/>
      <c r="R313" s="266"/>
      <c r="S313" s="216"/>
      <c r="T313" s="216"/>
      <c r="U313" s="217"/>
      <c r="V313" s="216"/>
      <c r="W313" s="216"/>
      <c r="X313" s="216"/>
      <c r="Y313" s="216"/>
      <c r="Z313" s="216"/>
      <c r="AA313" s="216"/>
      <c r="AB313" s="216"/>
      <c r="AC313" s="216"/>
      <c r="AD313" s="216"/>
      <c r="AE313" s="216"/>
      <c r="AF313" s="216"/>
      <c r="AG313" s="216"/>
      <c r="AH313" s="216"/>
      <c r="AI313" s="216"/>
      <c r="AJ313" s="216"/>
      <c r="AK313" s="216"/>
      <c r="AL313" s="216"/>
      <c r="AM313" s="216"/>
      <c r="AN313" s="216"/>
    </row>
    <row r="314">
      <c r="B314" s="267"/>
      <c r="C314" s="266"/>
      <c r="D314" s="266"/>
      <c r="E314" s="266"/>
      <c r="F314" s="266"/>
      <c r="G314" s="266"/>
      <c r="H314" s="266"/>
      <c r="I314" s="266"/>
      <c r="J314" s="266"/>
      <c r="K314" s="266"/>
      <c r="L314" s="266"/>
      <c r="M314" s="266"/>
      <c r="N314" s="266"/>
      <c r="O314" s="266"/>
      <c r="P314" s="266"/>
      <c r="Q314" s="266"/>
      <c r="R314" s="266"/>
      <c r="S314" s="216"/>
      <c r="T314" s="216"/>
      <c r="U314" s="217"/>
      <c r="V314" s="216"/>
      <c r="W314" s="216"/>
      <c r="X314" s="216"/>
      <c r="Y314" s="216"/>
      <c r="Z314" s="216"/>
      <c r="AA314" s="216"/>
      <c r="AB314" s="216"/>
      <c r="AC314" s="216"/>
      <c r="AD314" s="216"/>
      <c r="AE314" s="216"/>
      <c r="AF314" s="216"/>
      <c r="AG314" s="216"/>
      <c r="AH314" s="216"/>
      <c r="AI314" s="216"/>
      <c r="AJ314" s="216"/>
      <c r="AK314" s="216"/>
      <c r="AL314" s="216"/>
      <c r="AM314" s="216"/>
      <c r="AN314" s="216"/>
    </row>
    <row r="315">
      <c r="B315" s="267"/>
      <c r="C315" s="266"/>
      <c r="D315" s="266"/>
      <c r="E315" s="266"/>
      <c r="F315" s="266"/>
      <c r="G315" s="266"/>
      <c r="H315" s="266"/>
      <c r="I315" s="266"/>
      <c r="J315" s="266"/>
      <c r="K315" s="266"/>
      <c r="L315" s="266"/>
      <c r="M315" s="266"/>
      <c r="N315" s="266"/>
      <c r="O315" s="266"/>
      <c r="P315" s="266"/>
      <c r="Q315" s="266"/>
      <c r="R315" s="266"/>
      <c r="S315" s="216"/>
      <c r="T315" s="216"/>
      <c r="U315" s="217"/>
      <c r="V315" s="216"/>
      <c r="W315" s="216"/>
      <c r="X315" s="216"/>
      <c r="Y315" s="216"/>
      <c r="Z315" s="216"/>
      <c r="AA315" s="216"/>
      <c r="AB315" s="216"/>
      <c r="AC315" s="216"/>
      <c r="AD315" s="216"/>
      <c r="AE315" s="216"/>
      <c r="AF315" s="216"/>
      <c r="AG315" s="216"/>
      <c r="AH315" s="216"/>
      <c r="AI315" s="216"/>
      <c r="AJ315" s="216"/>
      <c r="AK315" s="216"/>
      <c r="AL315" s="216"/>
      <c r="AM315" s="216"/>
      <c r="AN315" s="216"/>
    </row>
    <row r="316">
      <c r="B316" s="267"/>
      <c r="C316" s="266"/>
      <c r="D316" s="266"/>
      <c r="E316" s="266"/>
      <c r="F316" s="266"/>
      <c r="G316" s="266"/>
      <c r="H316" s="266"/>
      <c r="I316" s="266"/>
      <c r="J316" s="266"/>
      <c r="K316" s="266"/>
      <c r="L316" s="266"/>
      <c r="M316" s="266"/>
      <c r="N316" s="266"/>
      <c r="O316" s="266"/>
      <c r="P316" s="266"/>
      <c r="Q316" s="266"/>
      <c r="R316" s="266"/>
      <c r="S316" s="216"/>
      <c r="T316" s="216"/>
      <c r="U316" s="217"/>
      <c r="V316" s="216"/>
      <c r="W316" s="216"/>
      <c r="X316" s="216"/>
      <c r="Y316" s="216"/>
      <c r="Z316" s="216"/>
      <c r="AA316" s="216"/>
      <c r="AB316" s="216"/>
      <c r="AC316" s="216"/>
      <c r="AD316" s="216"/>
      <c r="AE316" s="216"/>
      <c r="AF316" s="216"/>
      <c r="AG316" s="216"/>
      <c r="AH316" s="216"/>
      <c r="AI316" s="216"/>
      <c r="AJ316" s="216"/>
      <c r="AK316" s="216"/>
      <c r="AL316" s="216"/>
      <c r="AM316" s="216"/>
      <c r="AN316" s="216"/>
    </row>
    <row r="317">
      <c r="B317" s="267"/>
      <c r="C317" s="266"/>
      <c r="D317" s="266"/>
      <c r="E317" s="266"/>
      <c r="F317" s="266"/>
      <c r="G317" s="266"/>
      <c r="H317" s="266"/>
      <c r="I317" s="266"/>
      <c r="J317" s="266"/>
      <c r="K317" s="266"/>
      <c r="L317" s="266"/>
      <c r="M317" s="266"/>
      <c r="N317" s="266"/>
      <c r="O317" s="266"/>
      <c r="P317" s="266"/>
      <c r="Q317" s="266"/>
      <c r="R317" s="266"/>
      <c r="S317" s="216"/>
      <c r="T317" s="216"/>
      <c r="U317" s="217"/>
      <c r="V317" s="216"/>
      <c r="W317" s="216"/>
      <c r="X317" s="216"/>
      <c r="Y317" s="216"/>
      <c r="Z317" s="216"/>
      <c r="AA317" s="216"/>
      <c r="AB317" s="216"/>
      <c r="AC317" s="216"/>
      <c r="AD317" s="216"/>
      <c r="AE317" s="216"/>
      <c r="AF317" s="216"/>
      <c r="AG317" s="216"/>
      <c r="AH317" s="216"/>
      <c r="AI317" s="216"/>
      <c r="AJ317" s="216"/>
      <c r="AK317" s="216"/>
      <c r="AL317" s="216"/>
      <c r="AM317" s="216"/>
      <c r="AN317" s="216"/>
    </row>
    <row r="318">
      <c r="B318" s="267"/>
      <c r="C318" s="266"/>
      <c r="D318" s="266"/>
      <c r="E318" s="266"/>
      <c r="F318" s="266"/>
      <c r="G318" s="266"/>
      <c r="H318" s="266"/>
      <c r="I318" s="266"/>
      <c r="J318" s="266"/>
      <c r="K318" s="266"/>
      <c r="L318" s="266"/>
      <c r="M318" s="266"/>
      <c r="N318" s="266"/>
      <c r="O318" s="266"/>
      <c r="P318" s="266"/>
      <c r="Q318" s="266"/>
      <c r="R318" s="266"/>
      <c r="S318" s="216"/>
      <c r="T318" s="216"/>
      <c r="U318" s="217"/>
      <c r="V318" s="216"/>
      <c r="W318" s="216"/>
      <c r="X318" s="216"/>
      <c r="Y318" s="216"/>
      <c r="Z318" s="216"/>
      <c r="AA318" s="216"/>
      <c r="AB318" s="216"/>
      <c r="AC318" s="216"/>
      <c r="AD318" s="216"/>
      <c r="AE318" s="216"/>
      <c r="AF318" s="216"/>
      <c r="AG318" s="216"/>
      <c r="AH318" s="216"/>
      <c r="AI318" s="216"/>
      <c r="AJ318" s="216"/>
      <c r="AK318" s="216"/>
      <c r="AL318" s="216"/>
      <c r="AM318" s="216"/>
      <c r="AN318" s="216"/>
    </row>
    <row r="319">
      <c r="B319" s="267"/>
      <c r="C319" s="266"/>
      <c r="D319" s="266"/>
      <c r="E319" s="266"/>
      <c r="F319" s="266"/>
      <c r="G319" s="266"/>
      <c r="H319" s="266"/>
      <c r="I319" s="266"/>
      <c r="J319" s="266"/>
      <c r="K319" s="266"/>
      <c r="L319" s="266"/>
      <c r="M319" s="266"/>
      <c r="N319" s="266"/>
      <c r="O319" s="266"/>
      <c r="P319" s="266"/>
      <c r="Q319" s="266"/>
      <c r="R319" s="266"/>
      <c r="S319" s="216"/>
      <c r="T319" s="216"/>
      <c r="U319" s="217"/>
      <c r="V319" s="216"/>
      <c r="W319" s="216"/>
      <c r="X319" s="216"/>
      <c r="Y319" s="216"/>
      <c r="Z319" s="216"/>
      <c r="AA319" s="216"/>
      <c r="AB319" s="216"/>
      <c r="AC319" s="216"/>
      <c r="AD319" s="216"/>
      <c r="AE319" s="216"/>
      <c r="AF319" s="216"/>
      <c r="AG319" s="216"/>
      <c r="AH319" s="216"/>
      <c r="AI319" s="216"/>
      <c r="AJ319" s="216"/>
      <c r="AK319" s="216"/>
      <c r="AL319" s="216"/>
      <c r="AM319" s="216"/>
      <c r="AN319" s="216"/>
    </row>
    <row r="320">
      <c r="B320" s="267"/>
      <c r="C320" s="266"/>
      <c r="D320" s="266"/>
      <c r="E320" s="266"/>
      <c r="F320" s="266"/>
      <c r="G320" s="266"/>
      <c r="H320" s="266"/>
      <c r="I320" s="266"/>
      <c r="J320" s="266"/>
      <c r="K320" s="266"/>
      <c r="L320" s="266"/>
      <c r="M320" s="266"/>
      <c r="N320" s="266"/>
      <c r="O320" s="266"/>
      <c r="P320" s="266"/>
      <c r="Q320" s="266"/>
      <c r="R320" s="266"/>
      <c r="S320" s="216"/>
      <c r="T320" s="216"/>
      <c r="U320" s="217"/>
      <c r="V320" s="216"/>
      <c r="W320" s="216"/>
      <c r="X320" s="216"/>
      <c r="Y320" s="216"/>
      <c r="Z320" s="216"/>
      <c r="AA320" s="216"/>
      <c r="AB320" s="216"/>
      <c r="AC320" s="216"/>
      <c r="AD320" s="216"/>
      <c r="AE320" s="216"/>
      <c r="AF320" s="216"/>
      <c r="AG320" s="216"/>
      <c r="AH320" s="216"/>
      <c r="AI320" s="216"/>
      <c r="AJ320" s="216"/>
      <c r="AK320" s="216"/>
      <c r="AL320" s="216"/>
      <c r="AM320" s="216"/>
      <c r="AN320" s="216"/>
    </row>
    <row r="321">
      <c r="B321" s="267"/>
      <c r="C321" s="266"/>
      <c r="D321" s="266"/>
      <c r="E321" s="266"/>
      <c r="F321" s="266"/>
      <c r="G321" s="266"/>
      <c r="H321" s="266"/>
      <c r="I321" s="266"/>
      <c r="J321" s="266"/>
      <c r="K321" s="266"/>
      <c r="L321" s="266"/>
      <c r="M321" s="266"/>
      <c r="N321" s="266"/>
      <c r="O321" s="266"/>
      <c r="P321" s="266"/>
      <c r="Q321" s="266"/>
      <c r="R321" s="266"/>
      <c r="S321" s="216"/>
      <c r="T321" s="216"/>
      <c r="U321" s="217"/>
      <c r="V321" s="216"/>
      <c r="W321" s="216"/>
      <c r="X321" s="216"/>
      <c r="Y321" s="216"/>
      <c r="Z321" s="216"/>
      <c r="AA321" s="216"/>
      <c r="AB321" s="216"/>
      <c r="AC321" s="216"/>
      <c r="AD321" s="216"/>
      <c r="AE321" s="216"/>
      <c r="AF321" s="216"/>
      <c r="AG321" s="216"/>
      <c r="AH321" s="216"/>
      <c r="AI321" s="216"/>
      <c r="AJ321" s="216"/>
      <c r="AK321" s="216"/>
      <c r="AL321" s="216"/>
      <c r="AM321" s="216"/>
      <c r="AN321" s="216"/>
    </row>
    <row r="322">
      <c r="B322" s="267"/>
      <c r="C322" s="266"/>
      <c r="D322" s="266"/>
      <c r="E322" s="266"/>
      <c r="F322" s="266"/>
      <c r="G322" s="266"/>
      <c r="H322" s="266"/>
      <c r="I322" s="266"/>
      <c r="J322" s="266"/>
      <c r="K322" s="266"/>
      <c r="L322" s="266"/>
      <c r="M322" s="266"/>
      <c r="N322" s="266"/>
      <c r="O322" s="266"/>
      <c r="P322" s="266"/>
      <c r="Q322" s="266"/>
      <c r="R322" s="266"/>
      <c r="S322" s="216"/>
      <c r="T322" s="216"/>
      <c r="U322" s="217"/>
      <c r="V322" s="216"/>
      <c r="W322" s="216"/>
      <c r="X322" s="216"/>
      <c r="Y322" s="216"/>
      <c r="Z322" s="216"/>
      <c r="AA322" s="216"/>
      <c r="AB322" s="216"/>
      <c r="AC322" s="216"/>
      <c r="AD322" s="216"/>
      <c r="AE322" s="216"/>
      <c r="AF322" s="216"/>
      <c r="AG322" s="216"/>
      <c r="AH322" s="216"/>
      <c r="AI322" s="216"/>
      <c r="AJ322" s="216"/>
      <c r="AK322" s="216"/>
      <c r="AL322" s="216"/>
      <c r="AM322" s="216"/>
      <c r="AN322" s="216"/>
    </row>
    <row r="323">
      <c r="B323" s="267"/>
      <c r="C323" s="266"/>
      <c r="D323" s="266"/>
      <c r="E323" s="266"/>
      <c r="F323" s="266"/>
      <c r="G323" s="266"/>
      <c r="H323" s="266"/>
      <c r="I323" s="266"/>
      <c r="J323" s="266"/>
      <c r="K323" s="266"/>
      <c r="L323" s="266"/>
      <c r="M323" s="266"/>
      <c r="N323" s="266"/>
      <c r="O323" s="266"/>
      <c r="P323" s="266"/>
      <c r="Q323" s="266"/>
      <c r="R323" s="266"/>
      <c r="S323" s="216"/>
      <c r="T323" s="216"/>
      <c r="U323" s="217"/>
      <c r="V323" s="216"/>
      <c r="W323" s="216"/>
      <c r="X323" s="216"/>
      <c r="Y323" s="216"/>
      <c r="Z323" s="216"/>
      <c r="AA323" s="216"/>
      <c r="AB323" s="216"/>
      <c r="AC323" s="216"/>
      <c r="AD323" s="216"/>
      <c r="AE323" s="216"/>
      <c r="AF323" s="216"/>
      <c r="AG323" s="216"/>
      <c r="AH323" s="216"/>
      <c r="AI323" s="216"/>
      <c r="AJ323" s="216"/>
      <c r="AK323" s="216"/>
      <c r="AL323" s="216"/>
      <c r="AM323" s="216"/>
      <c r="AN323" s="216"/>
    </row>
    <row r="324">
      <c r="B324" s="267"/>
      <c r="C324" s="266"/>
      <c r="D324" s="266"/>
      <c r="E324" s="266"/>
      <c r="F324" s="266"/>
      <c r="G324" s="266"/>
      <c r="H324" s="266"/>
      <c r="I324" s="266"/>
      <c r="J324" s="266"/>
      <c r="K324" s="266"/>
      <c r="L324" s="266"/>
      <c r="M324" s="266"/>
      <c r="N324" s="266"/>
      <c r="O324" s="266"/>
      <c r="P324" s="266"/>
      <c r="Q324" s="266"/>
      <c r="R324" s="266"/>
      <c r="S324" s="216"/>
      <c r="T324" s="216"/>
      <c r="U324" s="217"/>
      <c r="V324" s="216"/>
      <c r="W324" s="216"/>
      <c r="X324" s="216"/>
      <c r="Y324" s="216"/>
      <c r="Z324" s="216"/>
      <c r="AA324" s="216"/>
      <c r="AB324" s="216"/>
      <c r="AC324" s="216"/>
      <c r="AD324" s="216"/>
      <c r="AE324" s="216"/>
      <c r="AF324" s="216"/>
      <c r="AG324" s="216"/>
      <c r="AH324" s="216"/>
      <c r="AI324" s="216"/>
      <c r="AJ324" s="216"/>
      <c r="AK324" s="216"/>
      <c r="AL324" s="216"/>
      <c r="AM324" s="216"/>
      <c r="AN324" s="216"/>
    </row>
    <row r="325">
      <c r="B325" s="267"/>
      <c r="C325" s="266"/>
      <c r="D325" s="266"/>
      <c r="E325" s="266"/>
      <c r="F325" s="266"/>
      <c r="G325" s="266"/>
      <c r="H325" s="266"/>
      <c r="I325" s="266"/>
      <c r="J325" s="266"/>
      <c r="K325" s="266"/>
      <c r="L325" s="266"/>
      <c r="M325" s="266"/>
      <c r="N325" s="266"/>
      <c r="O325" s="266"/>
      <c r="P325" s="266"/>
      <c r="Q325" s="266"/>
      <c r="R325" s="266"/>
      <c r="S325" s="216"/>
      <c r="T325" s="216"/>
      <c r="U325" s="217"/>
      <c r="V325" s="216"/>
      <c r="W325" s="216"/>
      <c r="X325" s="216"/>
      <c r="Y325" s="216"/>
      <c r="Z325" s="216"/>
      <c r="AA325" s="216"/>
      <c r="AB325" s="216"/>
      <c r="AC325" s="216"/>
      <c r="AD325" s="216"/>
      <c r="AE325" s="216"/>
      <c r="AF325" s="216"/>
      <c r="AG325" s="216"/>
      <c r="AH325" s="216"/>
      <c r="AI325" s="216"/>
      <c r="AJ325" s="216"/>
      <c r="AK325" s="216"/>
      <c r="AL325" s="216"/>
      <c r="AM325" s="216"/>
      <c r="AN325" s="216"/>
    </row>
    <row r="326">
      <c r="B326" s="267"/>
      <c r="C326" s="266"/>
      <c r="D326" s="266"/>
      <c r="E326" s="266"/>
      <c r="F326" s="266"/>
      <c r="G326" s="266"/>
      <c r="H326" s="266"/>
      <c r="I326" s="266"/>
      <c r="J326" s="266"/>
      <c r="K326" s="266"/>
      <c r="L326" s="266"/>
      <c r="M326" s="266"/>
      <c r="N326" s="266"/>
      <c r="O326" s="266"/>
      <c r="P326" s="266"/>
      <c r="Q326" s="266"/>
      <c r="R326" s="266"/>
      <c r="S326" s="216"/>
      <c r="T326" s="216"/>
      <c r="U326" s="217"/>
      <c r="V326" s="216"/>
      <c r="W326" s="216"/>
      <c r="X326" s="216"/>
      <c r="Y326" s="216"/>
      <c r="Z326" s="216"/>
      <c r="AA326" s="216"/>
      <c r="AB326" s="216"/>
      <c r="AC326" s="216"/>
      <c r="AD326" s="216"/>
      <c r="AE326" s="216"/>
      <c r="AF326" s="216"/>
      <c r="AG326" s="216"/>
      <c r="AH326" s="216"/>
      <c r="AI326" s="216"/>
      <c r="AJ326" s="216"/>
      <c r="AK326" s="216"/>
      <c r="AL326" s="216"/>
      <c r="AM326" s="216"/>
      <c r="AN326" s="216"/>
    </row>
    <row r="327">
      <c r="B327" s="267"/>
      <c r="C327" s="266"/>
      <c r="D327" s="266"/>
      <c r="E327" s="266"/>
      <c r="F327" s="266"/>
      <c r="G327" s="266"/>
      <c r="H327" s="266"/>
      <c r="I327" s="266"/>
      <c r="J327" s="266"/>
      <c r="K327" s="266"/>
      <c r="L327" s="266"/>
      <c r="M327" s="266"/>
      <c r="N327" s="266"/>
      <c r="O327" s="266"/>
      <c r="P327" s="266"/>
      <c r="Q327" s="266"/>
      <c r="R327" s="266"/>
      <c r="S327" s="216"/>
      <c r="T327" s="216"/>
      <c r="U327" s="217"/>
      <c r="V327" s="216"/>
      <c r="W327" s="216"/>
      <c r="X327" s="216"/>
      <c r="Y327" s="216"/>
      <c r="Z327" s="216"/>
      <c r="AA327" s="216"/>
      <c r="AB327" s="216"/>
      <c r="AC327" s="216"/>
      <c r="AD327" s="216"/>
      <c r="AE327" s="216"/>
      <c r="AF327" s="216"/>
      <c r="AG327" s="216"/>
      <c r="AH327" s="216"/>
      <c r="AI327" s="216"/>
      <c r="AJ327" s="216"/>
      <c r="AK327" s="216"/>
      <c r="AL327" s="216"/>
      <c r="AM327" s="216"/>
      <c r="AN327" s="216"/>
    </row>
    <row r="328">
      <c r="B328" s="267"/>
      <c r="C328" s="266"/>
      <c r="D328" s="266"/>
      <c r="E328" s="266"/>
      <c r="F328" s="266"/>
      <c r="G328" s="266"/>
      <c r="H328" s="266"/>
      <c r="I328" s="266"/>
      <c r="J328" s="266"/>
      <c r="K328" s="266"/>
      <c r="L328" s="266"/>
      <c r="M328" s="266"/>
      <c r="N328" s="266"/>
      <c r="O328" s="266"/>
      <c r="P328" s="266"/>
      <c r="Q328" s="266"/>
      <c r="R328" s="266"/>
      <c r="S328" s="216"/>
      <c r="T328" s="216"/>
      <c r="U328" s="217"/>
      <c r="V328" s="216"/>
      <c r="W328" s="216"/>
      <c r="X328" s="216"/>
      <c r="Y328" s="216"/>
      <c r="Z328" s="216"/>
      <c r="AA328" s="216"/>
      <c r="AB328" s="216"/>
      <c r="AC328" s="216"/>
      <c r="AD328" s="216"/>
      <c r="AE328" s="216"/>
      <c r="AF328" s="216"/>
      <c r="AG328" s="216"/>
      <c r="AH328" s="216"/>
      <c r="AI328" s="216"/>
      <c r="AJ328" s="216"/>
      <c r="AK328" s="216"/>
      <c r="AL328" s="216"/>
      <c r="AM328" s="216"/>
      <c r="AN328" s="216"/>
    </row>
    <row r="329">
      <c r="B329" s="267"/>
      <c r="C329" s="266"/>
      <c r="D329" s="266"/>
      <c r="E329" s="266"/>
      <c r="F329" s="266"/>
      <c r="G329" s="266"/>
      <c r="H329" s="266"/>
      <c r="I329" s="266"/>
      <c r="J329" s="266"/>
      <c r="K329" s="266"/>
      <c r="L329" s="266"/>
      <c r="M329" s="266"/>
      <c r="N329" s="266"/>
      <c r="O329" s="266"/>
      <c r="P329" s="266"/>
      <c r="Q329" s="266"/>
      <c r="R329" s="266"/>
      <c r="S329" s="216"/>
      <c r="T329" s="216"/>
      <c r="U329" s="217"/>
      <c r="V329" s="216"/>
      <c r="W329" s="216"/>
      <c r="X329" s="216"/>
      <c r="Y329" s="216"/>
      <c r="Z329" s="216"/>
      <c r="AA329" s="216"/>
      <c r="AB329" s="216"/>
      <c r="AC329" s="216"/>
      <c r="AD329" s="216"/>
      <c r="AE329" s="216"/>
      <c r="AF329" s="216"/>
      <c r="AG329" s="216"/>
      <c r="AH329" s="216"/>
      <c r="AI329" s="216"/>
      <c r="AJ329" s="216"/>
      <c r="AK329" s="216"/>
      <c r="AL329" s="216"/>
      <c r="AM329" s="216"/>
      <c r="AN329" s="216"/>
    </row>
    <row r="330">
      <c r="B330" s="267"/>
      <c r="C330" s="266"/>
      <c r="D330" s="266"/>
      <c r="E330" s="266"/>
      <c r="F330" s="266"/>
      <c r="G330" s="266"/>
      <c r="H330" s="266"/>
      <c r="I330" s="266"/>
      <c r="J330" s="266"/>
      <c r="K330" s="266"/>
      <c r="L330" s="266"/>
      <c r="M330" s="266"/>
      <c r="N330" s="266"/>
      <c r="O330" s="266"/>
      <c r="P330" s="266"/>
      <c r="Q330" s="266"/>
      <c r="R330" s="266"/>
      <c r="S330" s="216"/>
      <c r="T330" s="216"/>
      <c r="U330" s="217"/>
      <c r="V330" s="216"/>
      <c r="W330" s="216"/>
      <c r="X330" s="216"/>
      <c r="Y330" s="216"/>
      <c r="Z330" s="216"/>
      <c r="AA330" s="216"/>
      <c r="AB330" s="216"/>
      <c r="AC330" s="216"/>
      <c r="AD330" s="216"/>
      <c r="AE330" s="216"/>
      <c r="AF330" s="216"/>
      <c r="AG330" s="216"/>
      <c r="AH330" s="216"/>
      <c r="AI330" s="216"/>
      <c r="AJ330" s="216"/>
      <c r="AK330" s="216"/>
      <c r="AL330" s="216"/>
      <c r="AM330" s="216"/>
      <c r="AN330" s="216"/>
    </row>
    <row r="331">
      <c r="B331" s="267"/>
      <c r="C331" s="266"/>
      <c r="D331" s="266"/>
      <c r="E331" s="266"/>
      <c r="F331" s="266"/>
      <c r="G331" s="266"/>
      <c r="H331" s="266"/>
      <c r="I331" s="266"/>
      <c r="J331" s="266"/>
      <c r="K331" s="266"/>
      <c r="L331" s="266"/>
      <c r="M331" s="266"/>
      <c r="N331" s="266"/>
      <c r="O331" s="266"/>
      <c r="P331" s="266"/>
      <c r="Q331" s="266"/>
      <c r="R331" s="266"/>
      <c r="S331" s="216"/>
      <c r="T331" s="216"/>
      <c r="U331" s="217"/>
      <c r="V331" s="216"/>
      <c r="W331" s="216"/>
      <c r="X331" s="216"/>
      <c r="Y331" s="216"/>
      <c r="Z331" s="216"/>
      <c r="AA331" s="216"/>
      <c r="AB331" s="216"/>
      <c r="AC331" s="216"/>
      <c r="AD331" s="216"/>
      <c r="AE331" s="216"/>
      <c r="AF331" s="216"/>
      <c r="AG331" s="216"/>
      <c r="AH331" s="216"/>
      <c r="AI331" s="216"/>
      <c r="AJ331" s="216"/>
      <c r="AK331" s="216"/>
      <c r="AL331" s="216"/>
      <c r="AM331" s="216"/>
      <c r="AN331" s="216"/>
    </row>
    <row r="332">
      <c r="B332" s="267"/>
      <c r="C332" s="266"/>
      <c r="D332" s="266"/>
      <c r="E332" s="266"/>
      <c r="F332" s="266"/>
      <c r="G332" s="266"/>
      <c r="H332" s="266"/>
      <c r="I332" s="266"/>
      <c r="J332" s="266"/>
      <c r="K332" s="266"/>
      <c r="L332" s="266"/>
      <c r="M332" s="266"/>
      <c r="N332" s="266"/>
      <c r="O332" s="266"/>
      <c r="P332" s="266"/>
      <c r="Q332" s="266"/>
      <c r="R332" s="266"/>
      <c r="S332" s="216"/>
      <c r="T332" s="216"/>
      <c r="U332" s="217"/>
      <c r="V332" s="216"/>
      <c r="W332" s="216"/>
      <c r="X332" s="216"/>
      <c r="Y332" s="216"/>
      <c r="Z332" s="216"/>
      <c r="AA332" s="216"/>
      <c r="AB332" s="216"/>
      <c r="AC332" s="216"/>
      <c r="AD332" s="216"/>
      <c r="AE332" s="216"/>
      <c r="AF332" s="216"/>
      <c r="AG332" s="216"/>
      <c r="AH332" s="216"/>
      <c r="AI332" s="216"/>
      <c r="AJ332" s="216"/>
      <c r="AK332" s="216"/>
      <c r="AL332" s="216"/>
      <c r="AM332" s="216"/>
      <c r="AN332" s="216"/>
    </row>
    <row r="333">
      <c r="B333" s="267"/>
      <c r="C333" s="266"/>
      <c r="D333" s="266"/>
      <c r="E333" s="266"/>
      <c r="F333" s="266"/>
      <c r="G333" s="266"/>
      <c r="H333" s="266"/>
      <c r="I333" s="266"/>
      <c r="J333" s="266"/>
      <c r="K333" s="266"/>
      <c r="L333" s="266"/>
      <c r="M333" s="266"/>
      <c r="N333" s="266"/>
      <c r="O333" s="266"/>
      <c r="P333" s="266"/>
      <c r="Q333" s="266"/>
      <c r="R333" s="266"/>
      <c r="S333" s="216"/>
      <c r="T333" s="216"/>
      <c r="U333" s="217"/>
      <c r="V333" s="216"/>
      <c r="W333" s="216"/>
      <c r="X333" s="216"/>
      <c r="Y333" s="216"/>
      <c r="Z333" s="216"/>
      <c r="AA333" s="216"/>
      <c r="AB333" s="216"/>
      <c r="AC333" s="216"/>
      <c r="AD333" s="216"/>
      <c r="AE333" s="216"/>
      <c r="AF333" s="216"/>
      <c r="AG333" s="216"/>
      <c r="AH333" s="216"/>
      <c r="AI333" s="216"/>
      <c r="AJ333" s="216"/>
      <c r="AK333" s="216"/>
      <c r="AL333" s="216"/>
      <c r="AM333" s="216"/>
      <c r="AN333" s="216"/>
    </row>
    <row r="334">
      <c r="B334" s="267"/>
      <c r="C334" s="266"/>
      <c r="D334" s="266"/>
      <c r="E334" s="266"/>
      <c r="F334" s="266"/>
      <c r="G334" s="266"/>
      <c r="H334" s="266"/>
      <c r="I334" s="266"/>
      <c r="J334" s="266"/>
      <c r="K334" s="266"/>
      <c r="L334" s="266"/>
      <c r="M334" s="266"/>
      <c r="N334" s="266"/>
      <c r="O334" s="266"/>
      <c r="P334" s="266"/>
      <c r="Q334" s="266"/>
      <c r="R334" s="266"/>
      <c r="S334" s="216"/>
      <c r="T334" s="216"/>
      <c r="U334" s="217"/>
      <c r="V334" s="216"/>
      <c r="W334" s="216"/>
      <c r="X334" s="216"/>
      <c r="Y334" s="216"/>
      <c r="Z334" s="216"/>
      <c r="AA334" s="216"/>
      <c r="AB334" s="216"/>
      <c r="AC334" s="216"/>
      <c r="AD334" s="216"/>
      <c r="AE334" s="216"/>
      <c r="AF334" s="216"/>
      <c r="AG334" s="216"/>
      <c r="AH334" s="216"/>
      <c r="AI334" s="216"/>
      <c r="AJ334" s="216"/>
      <c r="AK334" s="216"/>
      <c r="AL334" s="216"/>
      <c r="AM334" s="216"/>
      <c r="AN334" s="216"/>
    </row>
    <row r="335">
      <c r="B335" s="267"/>
      <c r="C335" s="266"/>
      <c r="D335" s="266"/>
      <c r="E335" s="266"/>
      <c r="F335" s="266"/>
      <c r="G335" s="266"/>
      <c r="H335" s="266"/>
      <c r="I335" s="266"/>
      <c r="J335" s="266"/>
      <c r="K335" s="266"/>
      <c r="L335" s="266"/>
      <c r="M335" s="266"/>
      <c r="N335" s="266"/>
      <c r="O335" s="266"/>
      <c r="P335" s="266"/>
      <c r="Q335" s="266"/>
      <c r="R335" s="266"/>
      <c r="S335" s="216"/>
      <c r="T335" s="216"/>
      <c r="U335" s="217"/>
      <c r="V335" s="216"/>
      <c r="W335" s="216"/>
      <c r="X335" s="216"/>
      <c r="Y335" s="216"/>
      <c r="Z335" s="216"/>
      <c r="AA335" s="216"/>
      <c r="AB335" s="216"/>
      <c r="AC335" s="216"/>
      <c r="AD335" s="216"/>
      <c r="AE335" s="216"/>
      <c r="AF335" s="216"/>
      <c r="AG335" s="216"/>
      <c r="AH335" s="216"/>
      <c r="AI335" s="216"/>
      <c r="AJ335" s="216"/>
      <c r="AK335" s="216"/>
      <c r="AL335" s="216"/>
      <c r="AM335" s="216"/>
      <c r="AN335" s="216"/>
    </row>
    <row r="336">
      <c r="B336" s="267"/>
      <c r="C336" s="266"/>
      <c r="D336" s="266"/>
      <c r="E336" s="266"/>
      <c r="F336" s="266"/>
      <c r="G336" s="266"/>
      <c r="H336" s="266"/>
      <c r="I336" s="266"/>
      <c r="J336" s="266"/>
      <c r="K336" s="266"/>
      <c r="L336" s="266"/>
      <c r="M336" s="266"/>
      <c r="N336" s="266"/>
      <c r="O336" s="266"/>
      <c r="P336" s="266"/>
      <c r="Q336" s="266"/>
      <c r="R336" s="266"/>
      <c r="S336" s="216"/>
      <c r="T336" s="216"/>
      <c r="U336" s="217"/>
      <c r="V336" s="216"/>
      <c r="W336" s="216"/>
      <c r="X336" s="216"/>
      <c r="Y336" s="216"/>
      <c r="Z336" s="216"/>
      <c r="AA336" s="216"/>
      <c r="AB336" s="216"/>
      <c r="AC336" s="216"/>
      <c r="AD336" s="216"/>
      <c r="AE336" s="216"/>
      <c r="AF336" s="216"/>
      <c r="AG336" s="216"/>
      <c r="AH336" s="216"/>
      <c r="AI336" s="216"/>
      <c r="AJ336" s="216"/>
      <c r="AK336" s="216"/>
      <c r="AL336" s="216"/>
      <c r="AM336" s="216"/>
      <c r="AN336" s="216"/>
    </row>
    <row r="337">
      <c r="B337" s="267"/>
      <c r="C337" s="266"/>
      <c r="D337" s="266"/>
      <c r="E337" s="266"/>
      <c r="F337" s="266"/>
      <c r="G337" s="266"/>
      <c r="H337" s="266"/>
      <c r="I337" s="266"/>
      <c r="J337" s="266"/>
      <c r="K337" s="266"/>
      <c r="L337" s="266"/>
      <c r="M337" s="266"/>
      <c r="N337" s="266"/>
      <c r="O337" s="266"/>
      <c r="P337" s="266"/>
      <c r="Q337" s="266"/>
      <c r="R337" s="266"/>
      <c r="S337" s="216"/>
      <c r="T337" s="216"/>
      <c r="U337" s="217"/>
      <c r="V337" s="216"/>
      <c r="W337" s="216"/>
      <c r="X337" s="216"/>
      <c r="Y337" s="216"/>
      <c r="Z337" s="216"/>
      <c r="AA337" s="216"/>
      <c r="AB337" s="216"/>
      <c r="AC337" s="216"/>
      <c r="AD337" s="216"/>
      <c r="AE337" s="216"/>
      <c r="AF337" s="216"/>
      <c r="AG337" s="216"/>
      <c r="AH337" s="216"/>
      <c r="AI337" s="216"/>
      <c r="AJ337" s="216"/>
      <c r="AK337" s="216"/>
      <c r="AL337" s="216"/>
      <c r="AM337" s="216"/>
      <c r="AN337" s="216"/>
    </row>
    <row r="338">
      <c r="B338" s="267"/>
      <c r="C338" s="266"/>
      <c r="D338" s="266"/>
      <c r="E338" s="266"/>
      <c r="F338" s="266"/>
      <c r="G338" s="266"/>
      <c r="H338" s="266"/>
      <c r="I338" s="266"/>
      <c r="J338" s="266"/>
      <c r="K338" s="266"/>
      <c r="L338" s="266"/>
      <c r="M338" s="266"/>
      <c r="N338" s="266"/>
      <c r="O338" s="266"/>
      <c r="P338" s="266"/>
      <c r="Q338" s="266"/>
      <c r="R338" s="266"/>
      <c r="S338" s="216"/>
      <c r="T338" s="216"/>
      <c r="U338" s="217"/>
      <c r="V338" s="216"/>
      <c r="W338" s="216"/>
      <c r="X338" s="216"/>
      <c r="Y338" s="216"/>
      <c r="Z338" s="216"/>
      <c r="AA338" s="216"/>
      <c r="AB338" s="216"/>
      <c r="AC338" s="216"/>
      <c r="AD338" s="216"/>
      <c r="AE338" s="216"/>
      <c r="AF338" s="216"/>
      <c r="AG338" s="216"/>
      <c r="AH338" s="216"/>
      <c r="AI338" s="216"/>
      <c r="AJ338" s="216"/>
      <c r="AK338" s="216"/>
      <c r="AL338" s="216"/>
      <c r="AM338" s="216"/>
      <c r="AN338" s="216"/>
    </row>
    <row r="339">
      <c r="B339" s="267"/>
      <c r="C339" s="266"/>
      <c r="D339" s="266"/>
      <c r="E339" s="266"/>
      <c r="F339" s="266"/>
      <c r="G339" s="266"/>
      <c r="H339" s="266"/>
      <c r="I339" s="266"/>
      <c r="J339" s="266"/>
      <c r="K339" s="266"/>
      <c r="L339" s="266"/>
      <c r="M339" s="266"/>
      <c r="N339" s="266"/>
      <c r="O339" s="266"/>
      <c r="P339" s="266"/>
      <c r="Q339" s="266"/>
      <c r="R339" s="266"/>
      <c r="S339" s="216"/>
      <c r="T339" s="216"/>
      <c r="U339" s="217"/>
      <c r="V339" s="216"/>
      <c r="W339" s="216"/>
      <c r="X339" s="216"/>
      <c r="Y339" s="216"/>
      <c r="Z339" s="216"/>
      <c r="AA339" s="216"/>
      <c r="AB339" s="216"/>
      <c r="AC339" s="216"/>
      <c r="AD339" s="216"/>
      <c r="AE339" s="216"/>
      <c r="AF339" s="216"/>
      <c r="AG339" s="216"/>
      <c r="AH339" s="216"/>
      <c r="AI339" s="216"/>
      <c r="AJ339" s="216"/>
      <c r="AK339" s="216"/>
      <c r="AL339" s="216"/>
      <c r="AM339" s="216"/>
      <c r="AN339" s="216"/>
    </row>
    <row r="340">
      <c r="B340" s="267"/>
      <c r="C340" s="266"/>
      <c r="D340" s="266"/>
      <c r="E340" s="266"/>
      <c r="F340" s="266"/>
      <c r="G340" s="266"/>
      <c r="H340" s="266"/>
      <c r="I340" s="266"/>
      <c r="J340" s="266"/>
      <c r="K340" s="266"/>
      <c r="L340" s="266"/>
      <c r="M340" s="266"/>
      <c r="N340" s="266"/>
      <c r="O340" s="266"/>
      <c r="P340" s="266"/>
      <c r="Q340" s="266"/>
      <c r="R340" s="266"/>
      <c r="S340" s="216"/>
      <c r="T340" s="216"/>
      <c r="U340" s="217"/>
      <c r="V340" s="216"/>
      <c r="W340" s="216"/>
      <c r="X340" s="216"/>
      <c r="Y340" s="216"/>
      <c r="Z340" s="216"/>
      <c r="AA340" s="216"/>
      <c r="AB340" s="216"/>
      <c r="AC340" s="216"/>
      <c r="AD340" s="216"/>
      <c r="AE340" s="216"/>
      <c r="AF340" s="216"/>
      <c r="AG340" s="216"/>
      <c r="AH340" s="216"/>
      <c r="AI340" s="216"/>
      <c r="AJ340" s="216"/>
      <c r="AK340" s="216"/>
      <c r="AL340" s="216"/>
      <c r="AM340" s="216"/>
      <c r="AN340" s="216"/>
    </row>
    <row r="341">
      <c r="B341" s="267"/>
      <c r="C341" s="266"/>
      <c r="D341" s="266"/>
      <c r="E341" s="266"/>
      <c r="F341" s="266"/>
      <c r="G341" s="266"/>
      <c r="H341" s="266"/>
      <c r="I341" s="266"/>
      <c r="J341" s="266"/>
      <c r="K341" s="266"/>
      <c r="L341" s="266"/>
      <c r="M341" s="266"/>
      <c r="N341" s="266"/>
      <c r="O341" s="266"/>
      <c r="P341" s="266"/>
      <c r="Q341" s="266"/>
      <c r="R341" s="266"/>
      <c r="S341" s="216"/>
      <c r="T341" s="216"/>
      <c r="U341" s="217"/>
      <c r="V341" s="216"/>
      <c r="W341" s="216"/>
      <c r="X341" s="216"/>
      <c r="Y341" s="216"/>
      <c r="Z341" s="216"/>
      <c r="AA341" s="216"/>
      <c r="AB341" s="216"/>
      <c r="AC341" s="216"/>
      <c r="AD341" s="216"/>
      <c r="AE341" s="216"/>
      <c r="AF341" s="216"/>
      <c r="AG341" s="216"/>
      <c r="AH341" s="216"/>
      <c r="AI341" s="216"/>
      <c r="AJ341" s="216"/>
      <c r="AK341" s="216"/>
      <c r="AL341" s="216"/>
      <c r="AM341" s="216"/>
      <c r="AN341" s="216"/>
    </row>
    <row r="342">
      <c r="B342" s="267"/>
      <c r="C342" s="266"/>
      <c r="D342" s="266"/>
      <c r="E342" s="266"/>
      <c r="F342" s="266"/>
      <c r="G342" s="266"/>
      <c r="H342" s="266"/>
      <c r="I342" s="266"/>
      <c r="J342" s="266"/>
      <c r="K342" s="266"/>
      <c r="L342" s="266"/>
      <c r="M342" s="266"/>
      <c r="N342" s="266"/>
      <c r="O342" s="266"/>
      <c r="P342" s="266"/>
      <c r="Q342" s="266"/>
      <c r="R342" s="266"/>
      <c r="S342" s="216"/>
      <c r="T342" s="216"/>
      <c r="U342" s="217"/>
      <c r="V342" s="216"/>
      <c r="W342" s="216"/>
      <c r="X342" s="216"/>
      <c r="Y342" s="216"/>
      <c r="Z342" s="216"/>
      <c r="AA342" s="216"/>
      <c r="AB342" s="216"/>
      <c r="AC342" s="216"/>
      <c r="AD342" s="216"/>
      <c r="AE342" s="216"/>
      <c r="AF342" s="216"/>
      <c r="AG342" s="216"/>
      <c r="AH342" s="216"/>
      <c r="AI342" s="216"/>
      <c r="AJ342" s="216"/>
      <c r="AK342" s="216"/>
      <c r="AL342" s="216"/>
      <c r="AM342" s="216"/>
      <c r="AN342" s="216"/>
    </row>
    <row r="343">
      <c r="B343" s="267"/>
      <c r="C343" s="266"/>
      <c r="D343" s="266"/>
      <c r="E343" s="266"/>
      <c r="F343" s="266"/>
      <c r="G343" s="266"/>
      <c r="H343" s="266"/>
      <c r="I343" s="266"/>
      <c r="J343" s="266"/>
      <c r="K343" s="266"/>
      <c r="L343" s="266"/>
      <c r="M343" s="266"/>
      <c r="N343" s="266"/>
      <c r="O343" s="266"/>
      <c r="P343" s="266"/>
      <c r="Q343" s="266"/>
      <c r="R343" s="266"/>
      <c r="S343" s="216"/>
      <c r="T343" s="216"/>
      <c r="U343" s="217"/>
      <c r="V343" s="216"/>
      <c r="W343" s="216"/>
      <c r="X343" s="216"/>
      <c r="Y343" s="216"/>
      <c r="Z343" s="216"/>
      <c r="AA343" s="216"/>
      <c r="AB343" s="216"/>
      <c r="AC343" s="216"/>
      <c r="AD343" s="216"/>
      <c r="AE343" s="216"/>
      <c r="AF343" s="216"/>
      <c r="AG343" s="216"/>
      <c r="AH343" s="216"/>
      <c r="AI343" s="216"/>
      <c r="AJ343" s="216"/>
      <c r="AK343" s="216"/>
      <c r="AL343" s="216"/>
      <c r="AM343" s="216"/>
      <c r="AN343" s="216"/>
    </row>
    <row r="344">
      <c r="B344" s="267"/>
      <c r="C344" s="266"/>
      <c r="D344" s="266"/>
      <c r="E344" s="266"/>
      <c r="F344" s="266"/>
      <c r="G344" s="266"/>
      <c r="H344" s="266"/>
      <c r="I344" s="266"/>
      <c r="J344" s="266"/>
      <c r="K344" s="266"/>
      <c r="L344" s="266"/>
      <c r="M344" s="266"/>
      <c r="N344" s="266"/>
      <c r="O344" s="266"/>
      <c r="P344" s="266"/>
      <c r="Q344" s="266"/>
      <c r="R344" s="266"/>
      <c r="S344" s="216"/>
      <c r="T344" s="216"/>
      <c r="U344" s="217"/>
      <c r="V344" s="216"/>
      <c r="W344" s="216"/>
      <c r="X344" s="216"/>
      <c r="Y344" s="216"/>
      <c r="Z344" s="216"/>
      <c r="AA344" s="216"/>
      <c r="AB344" s="216"/>
      <c r="AC344" s="216"/>
      <c r="AD344" s="216"/>
      <c r="AE344" s="216"/>
      <c r="AF344" s="216"/>
      <c r="AG344" s="216"/>
      <c r="AH344" s="216"/>
      <c r="AI344" s="216"/>
      <c r="AJ344" s="216"/>
      <c r="AK344" s="216"/>
      <c r="AL344" s="216"/>
      <c r="AM344" s="216"/>
      <c r="AN344" s="216"/>
    </row>
    <row r="345">
      <c r="B345" s="267"/>
      <c r="C345" s="266"/>
      <c r="D345" s="266"/>
      <c r="E345" s="266"/>
      <c r="F345" s="266"/>
      <c r="G345" s="266"/>
      <c r="H345" s="266"/>
      <c r="I345" s="266"/>
      <c r="J345" s="266"/>
      <c r="K345" s="266"/>
      <c r="L345" s="266"/>
      <c r="M345" s="266"/>
      <c r="N345" s="266"/>
      <c r="O345" s="266"/>
      <c r="P345" s="266"/>
      <c r="Q345" s="266"/>
      <c r="R345" s="266"/>
      <c r="S345" s="216"/>
      <c r="T345" s="216"/>
      <c r="U345" s="217"/>
      <c r="V345" s="216"/>
      <c r="W345" s="216"/>
      <c r="X345" s="216"/>
      <c r="Y345" s="216"/>
      <c r="Z345" s="216"/>
      <c r="AA345" s="216"/>
      <c r="AB345" s="216"/>
      <c r="AC345" s="216"/>
      <c r="AD345" s="216"/>
      <c r="AE345" s="216"/>
      <c r="AF345" s="216"/>
      <c r="AG345" s="216"/>
      <c r="AH345" s="216"/>
      <c r="AI345" s="216"/>
      <c r="AJ345" s="216"/>
      <c r="AK345" s="216"/>
      <c r="AL345" s="216"/>
      <c r="AM345" s="216"/>
      <c r="AN345" s="216"/>
    </row>
    <row r="346">
      <c r="B346" s="267"/>
      <c r="C346" s="266"/>
      <c r="D346" s="266"/>
      <c r="E346" s="266"/>
      <c r="F346" s="266"/>
      <c r="G346" s="266"/>
      <c r="H346" s="266"/>
      <c r="I346" s="266"/>
      <c r="J346" s="266"/>
      <c r="K346" s="266"/>
      <c r="L346" s="266"/>
      <c r="M346" s="266"/>
      <c r="N346" s="266"/>
      <c r="O346" s="266"/>
      <c r="P346" s="266"/>
      <c r="Q346" s="266"/>
      <c r="R346" s="266"/>
      <c r="S346" s="216"/>
      <c r="T346" s="216"/>
      <c r="U346" s="217"/>
      <c r="V346" s="216"/>
      <c r="W346" s="216"/>
      <c r="X346" s="216"/>
      <c r="Y346" s="216"/>
      <c r="Z346" s="216"/>
      <c r="AA346" s="216"/>
      <c r="AB346" s="216"/>
      <c r="AC346" s="216"/>
      <c r="AD346" s="216"/>
      <c r="AE346" s="216"/>
      <c r="AF346" s="216"/>
      <c r="AG346" s="216"/>
      <c r="AH346" s="216"/>
      <c r="AI346" s="216"/>
      <c r="AJ346" s="216"/>
      <c r="AK346" s="216"/>
      <c r="AL346" s="216"/>
      <c r="AM346" s="216"/>
      <c r="AN346" s="216"/>
    </row>
    <row r="347">
      <c r="B347" s="267"/>
      <c r="C347" s="266"/>
      <c r="D347" s="266"/>
      <c r="E347" s="266"/>
      <c r="F347" s="266"/>
      <c r="G347" s="266"/>
      <c r="H347" s="266"/>
      <c r="I347" s="266"/>
      <c r="J347" s="266"/>
      <c r="K347" s="266"/>
      <c r="L347" s="266"/>
      <c r="M347" s="266"/>
      <c r="N347" s="266"/>
      <c r="O347" s="266"/>
      <c r="P347" s="266"/>
      <c r="Q347" s="266"/>
      <c r="R347" s="266"/>
      <c r="S347" s="216"/>
      <c r="T347" s="216"/>
      <c r="U347" s="217"/>
      <c r="V347" s="216"/>
      <c r="W347" s="216"/>
      <c r="X347" s="216"/>
      <c r="Y347" s="216"/>
      <c r="Z347" s="216"/>
      <c r="AA347" s="216"/>
      <c r="AB347" s="216"/>
      <c r="AC347" s="216"/>
      <c r="AD347" s="216"/>
      <c r="AE347" s="216"/>
      <c r="AF347" s="216"/>
      <c r="AG347" s="216"/>
      <c r="AH347" s="216"/>
      <c r="AI347" s="216"/>
      <c r="AJ347" s="216"/>
      <c r="AK347" s="216"/>
      <c r="AL347" s="216"/>
      <c r="AM347" s="216"/>
      <c r="AN347" s="216"/>
    </row>
    <row r="348">
      <c r="B348" s="267"/>
      <c r="C348" s="266"/>
      <c r="D348" s="266"/>
      <c r="E348" s="266"/>
      <c r="F348" s="266"/>
      <c r="G348" s="266"/>
      <c r="H348" s="266"/>
      <c r="I348" s="266"/>
      <c r="J348" s="266"/>
      <c r="K348" s="266"/>
      <c r="L348" s="266"/>
      <c r="M348" s="266"/>
      <c r="N348" s="266"/>
      <c r="O348" s="266"/>
      <c r="P348" s="266"/>
      <c r="Q348" s="266"/>
      <c r="R348" s="266"/>
      <c r="S348" s="216"/>
      <c r="T348" s="216"/>
      <c r="U348" s="217"/>
      <c r="V348" s="216"/>
      <c r="W348" s="216"/>
      <c r="X348" s="216"/>
      <c r="Y348" s="216"/>
      <c r="Z348" s="216"/>
      <c r="AA348" s="216"/>
      <c r="AB348" s="216"/>
      <c r="AC348" s="216"/>
      <c r="AD348" s="216"/>
      <c r="AE348" s="216"/>
      <c r="AF348" s="216"/>
      <c r="AG348" s="216"/>
      <c r="AH348" s="216"/>
      <c r="AI348" s="216"/>
      <c r="AJ348" s="216"/>
      <c r="AK348" s="216"/>
      <c r="AL348" s="216"/>
      <c r="AM348" s="216"/>
      <c r="AN348" s="216"/>
    </row>
    <row r="349">
      <c r="B349" s="267"/>
      <c r="C349" s="266"/>
      <c r="D349" s="266"/>
      <c r="E349" s="266"/>
      <c r="F349" s="266"/>
      <c r="G349" s="266"/>
      <c r="H349" s="266"/>
      <c r="I349" s="266"/>
      <c r="J349" s="266"/>
      <c r="K349" s="266"/>
      <c r="L349" s="266"/>
      <c r="M349" s="266"/>
      <c r="N349" s="266"/>
      <c r="O349" s="266"/>
      <c r="P349" s="266"/>
      <c r="Q349" s="266"/>
      <c r="R349" s="266"/>
      <c r="S349" s="216"/>
      <c r="T349" s="216"/>
      <c r="U349" s="217"/>
      <c r="V349" s="216"/>
      <c r="W349" s="216"/>
      <c r="X349" s="216"/>
      <c r="Y349" s="216"/>
      <c r="Z349" s="216"/>
      <c r="AA349" s="216"/>
      <c r="AB349" s="216"/>
      <c r="AC349" s="216"/>
      <c r="AD349" s="216"/>
      <c r="AE349" s="216"/>
      <c r="AF349" s="216"/>
      <c r="AG349" s="216"/>
      <c r="AH349" s="216"/>
      <c r="AI349" s="216"/>
      <c r="AJ349" s="216"/>
      <c r="AK349" s="216"/>
      <c r="AL349" s="216"/>
      <c r="AM349" s="216"/>
      <c r="AN349" s="216"/>
    </row>
    <row r="350">
      <c r="B350" s="267"/>
      <c r="C350" s="266"/>
      <c r="D350" s="266"/>
      <c r="E350" s="266"/>
      <c r="F350" s="266"/>
      <c r="G350" s="266"/>
      <c r="H350" s="266"/>
      <c r="I350" s="266"/>
      <c r="J350" s="266"/>
      <c r="K350" s="266"/>
      <c r="L350" s="266"/>
      <c r="M350" s="266"/>
      <c r="N350" s="266"/>
      <c r="O350" s="266"/>
      <c r="P350" s="266"/>
      <c r="Q350" s="266"/>
      <c r="R350" s="266"/>
      <c r="S350" s="216"/>
      <c r="T350" s="216"/>
      <c r="U350" s="217"/>
      <c r="V350" s="216"/>
      <c r="W350" s="216"/>
      <c r="X350" s="216"/>
      <c r="Y350" s="216"/>
      <c r="Z350" s="216"/>
      <c r="AA350" s="216"/>
      <c r="AB350" s="216"/>
      <c r="AC350" s="216"/>
      <c r="AD350" s="216"/>
      <c r="AE350" s="216"/>
      <c r="AF350" s="216"/>
      <c r="AG350" s="216"/>
      <c r="AH350" s="216"/>
      <c r="AI350" s="216"/>
      <c r="AJ350" s="216"/>
      <c r="AK350" s="216"/>
      <c r="AL350" s="216"/>
      <c r="AM350" s="216"/>
      <c r="AN350" s="216"/>
    </row>
    <row r="351">
      <c r="B351" s="267"/>
      <c r="C351" s="266"/>
      <c r="D351" s="266"/>
      <c r="E351" s="266"/>
      <c r="F351" s="266"/>
      <c r="G351" s="266"/>
      <c r="H351" s="266"/>
      <c r="I351" s="266"/>
      <c r="J351" s="266"/>
      <c r="K351" s="266"/>
      <c r="L351" s="266"/>
      <c r="M351" s="266"/>
      <c r="N351" s="266"/>
      <c r="O351" s="266"/>
      <c r="P351" s="266"/>
      <c r="Q351" s="266"/>
      <c r="R351" s="266"/>
      <c r="S351" s="216"/>
      <c r="T351" s="216"/>
      <c r="U351" s="217"/>
      <c r="V351" s="216"/>
      <c r="W351" s="216"/>
      <c r="X351" s="216"/>
      <c r="Y351" s="216"/>
      <c r="Z351" s="216"/>
      <c r="AA351" s="216"/>
      <c r="AB351" s="216"/>
      <c r="AC351" s="216"/>
      <c r="AD351" s="216"/>
      <c r="AE351" s="216"/>
      <c r="AF351" s="216"/>
      <c r="AG351" s="216"/>
      <c r="AH351" s="216"/>
      <c r="AI351" s="216"/>
      <c r="AJ351" s="216"/>
      <c r="AK351" s="216"/>
      <c r="AL351" s="216"/>
      <c r="AM351" s="216"/>
      <c r="AN351" s="216"/>
    </row>
    <row r="352">
      <c r="B352" s="267"/>
      <c r="C352" s="266"/>
      <c r="D352" s="266"/>
      <c r="E352" s="266"/>
      <c r="F352" s="266"/>
      <c r="G352" s="266"/>
      <c r="H352" s="266"/>
      <c r="I352" s="266"/>
      <c r="J352" s="266"/>
      <c r="K352" s="266"/>
      <c r="L352" s="266"/>
      <c r="M352" s="266"/>
      <c r="N352" s="266"/>
      <c r="O352" s="266"/>
      <c r="P352" s="266"/>
      <c r="Q352" s="266"/>
      <c r="R352" s="266"/>
      <c r="S352" s="216"/>
      <c r="T352" s="216"/>
      <c r="U352" s="217"/>
      <c r="V352" s="216"/>
      <c r="W352" s="216"/>
      <c r="X352" s="216"/>
      <c r="Y352" s="216"/>
      <c r="Z352" s="216"/>
      <c r="AA352" s="216"/>
      <c r="AB352" s="216"/>
      <c r="AC352" s="216"/>
      <c r="AD352" s="216"/>
      <c r="AE352" s="216"/>
      <c r="AF352" s="216"/>
      <c r="AG352" s="216"/>
      <c r="AH352" s="216"/>
      <c r="AI352" s="216"/>
      <c r="AJ352" s="216"/>
      <c r="AK352" s="216"/>
      <c r="AL352" s="216"/>
      <c r="AM352" s="216"/>
      <c r="AN352" s="216"/>
    </row>
    <row r="353">
      <c r="B353" s="267"/>
      <c r="C353" s="266"/>
      <c r="D353" s="266"/>
      <c r="E353" s="266"/>
      <c r="F353" s="266"/>
      <c r="G353" s="266"/>
      <c r="H353" s="266"/>
      <c r="I353" s="266"/>
      <c r="J353" s="266"/>
      <c r="K353" s="266"/>
      <c r="L353" s="266"/>
      <c r="M353" s="266"/>
      <c r="N353" s="266"/>
      <c r="O353" s="266"/>
      <c r="P353" s="266"/>
      <c r="Q353" s="266"/>
      <c r="R353" s="266"/>
      <c r="S353" s="216"/>
      <c r="T353" s="216"/>
      <c r="U353" s="217"/>
      <c r="V353" s="216"/>
      <c r="W353" s="216"/>
      <c r="X353" s="216"/>
      <c r="Y353" s="216"/>
      <c r="Z353" s="216"/>
      <c r="AA353" s="216"/>
      <c r="AB353" s="216"/>
      <c r="AC353" s="216"/>
      <c r="AD353" s="216"/>
      <c r="AE353" s="216"/>
      <c r="AF353" s="216"/>
      <c r="AG353" s="216"/>
      <c r="AH353" s="216"/>
      <c r="AI353" s="216"/>
      <c r="AJ353" s="216"/>
      <c r="AK353" s="216"/>
      <c r="AL353" s="216"/>
      <c r="AM353" s="216"/>
      <c r="AN353" s="216"/>
    </row>
    <row r="354">
      <c r="B354" s="267"/>
      <c r="C354" s="266"/>
      <c r="D354" s="266"/>
      <c r="E354" s="266"/>
      <c r="F354" s="266"/>
      <c r="G354" s="266"/>
      <c r="H354" s="266"/>
      <c r="I354" s="266"/>
      <c r="J354" s="266"/>
      <c r="K354" s="266"/>
      <c r="L354" s="266"/>
      <c r="M354" s="266"/>
      <c r="N354" s="266"/>
      <c r="O354" s="266"/>
      <c r="P354" s="266"/>
      <c r="Q354" s="266"/>
      <c r="R354" s="266"/>
      <c r="S354" s="216"/>
      <c r="T354" s="216"/>
      <c r="U354" s="217"/>
      <c r="V354" s="216"/>
      <c r="W354" s="216"/>
      <c r="X354" s="216"/>
      <c r="Y354" s="216"/>
      <c r="Z354" s="216"/>
      <c r="AA354" s="216"/>
      <c r="AB354" s="216"/>
      <c r="AC354" s="216"/>
      <c r="AD354" s="216"/>
      <c r="AE354" s="216"/>
      <c r="AF354" s="216"/>
      <c r="AG354" s="216"/>
      <c r="AH354" s="216"/>
      <c r="AI354" s="216"/>
      <c r="AJ354" s="216"/>
      <c r="AK354" s="216"/>
      <c r="AL354" s="216"/>
      <c r="AM354" s="216"/>
      <c r="AN354" s="216"/>
    </row>
    <row r="355">
      <c r="B355" s="267"/>
      <c r="C355" s="266"/>
      <c r="D355" s="266"/>
      <c r="E355" s="266"/>
      <c r="F355" s="266"/>
      <c r="G355" s="266"/>
      <c r="H355" s="266"/>
      <c r="I355" s="266"/>
      <c r="J355" s="266"/>
      <c r="K355" s="266"/>
      <c r="L355" s="266"/>
      <c r="M355" s="266"/>
      <c r="N355" s="266"/>
      <c r="O355" s="266"/>
      <c r="P355" s="266"/>
      <c r="Q355" s="266"/>
      <c r="R355" s="266"/>
      <c r="S355" s="216"/>
      <c r="T355" s="216"/>
      <c r="U355" s="217"/>
      <c r="V355" s="216"/>
      <c r="W355" s="216"/>
      <c r="X355" s="216"/>
      <c r="Y355" s="216"/>
      <c r="Z355" s="216"/>
      <c r="AA355" s="216"/>
      <c r="AB355" s="216"/>
      <c r="AC355" s="216"/>
      <c r="AD355" s="216"/>
      <c r="AE355" s="216"/>
      <c r="AF355" s="216"/>
      <c r="AG355" s="216"/>
      <c r="AH355" s="216"/>
      <c r="AI355" s="216"/>
      <c r="AJ355" s="216"/>
      <c r="AK355" s="216"/>
      <c r="AL355" s="216"/>
      <c r="AM355" s="216"/>
      <c r="AN355" s="216"/>
    </row>
    <row r="356">
      <c r="B356" s="267"/>
      <c r="C356" s="266"/>
      <c r="D356" s="266"/>
      <c r="E356" s="266"/>
      <c r="F356" s="266"/>
      <c r="G356" s="266"/>
      <c r="H356" s="266"/>
      <c r="I356" s="266"/>
      <c r="J356" s="266"/>
      <c r="K356" s="266"/>
      <c r="L356" s="266"/>
      <c r="M356" s="266"/>
      <c r="N356" s="266"/>
      <c r="O356" s="266"/>
      <c r="P356" s="266"/>
      <c r="Q356" s="266"/>
      <c r="R356" s="266"/>
      <c r="S356" s="216"/>
      <c r="T356" s="216"/>
      <c r="U356" s="217"/>
      <c r="V356" s="216"/>
      <c r="W356" s="216"/>
      <c r="X356" s="216"/>
      <c r="Y356" s="216"/>
      <c r="Z356" s="216"/>
      <c r="AA356" s="216"/>
      <c r="AB356" s="216"/>
      <c r="AC356" s="216"/>
      <c r="AD356" s="216"/>
      <c r="AE356" s="216"/>
      <c r="AF356" s="216"/>
      <c r="AG356" s="216"/>
      <c r="AH356" s="216"/>
      <c r="AI356" s="216"/>
      <c r="AJ356" s="216"/>
      <c r="AK356" s="216"/>
      <c r="AL356" s="216"/>
      <c r="AM356" s="216"/>
      <c r="AN356" s="216"/>
    </row>
    <row r="357">
      <c r="B357" s="267"/>
      <c r="C357" s="266"/>
      <c r="D357" s="266"/>
      <c r="E357" s="266"/>
      <c r="F357" s="266"/>
      <c r="G357" s="266"/>
      <c r="H357" s="266"/>
      <c r="I357" s="266"/>
      <c r="J357" s="266"/>
      <c r="K357" s="266"/>
      <c r="L357" s="266"/>
      <c r="M357" s="266"/>
      <c r="N357" s="266"/>
      <c r="O357" s="266"/>
      <c r="P357" s="266"/>
      <c r="Q357" s="266"/>
      <c r="R357" s="266"/>
      <c r="S357" s="216"/>
      <c r="T357" s="216"/>
      <c r="U357" s="217"/>
      <c r="V357" s="216"/>
      <c r="W357" s="216"/>
      <c r="X357" s="216"/>
      <c r="Y357" s="216"/>
      <c r="Z357" s="216"/>
      <c r="AA357" s="216"/>
      <c r="AB357" s="216"/>
      <c r="AC357" s="216"/>
      <c r="AD357" s="216"/>
      <c r="AE357" s="216"/>
      <c r="AF357" s="216"/>
      <c r="AG357" s="216"/>
      <c r="AH357" s="216"/>
      <c r="AI357" s="216"/>
      <c r="AJ357" s="216"/>
      <c r="AK357" s="216"/>
      <c r="AL357" s="216"/>
      <c r="AM357" s="216"/>
      <c r="AN357" s="216"/>
    </row>
    <row r="358">
      <c r="B358" s="267"/>
      <c r="C358" s="266"/>
      <c r="D358" s="266"/>
      <c r="E358" s="266"/>
      <c r="F358" s="266"/>
      <c r="G358" s="266"/>
      <c r="H358" s="266"/>
      <c r="I358" s="266"/>
      <c r="J358" s="266"/>
      <c r="K358" s="266"/>
      <c r="L358" s="266"/>
      <c r="M358" s="266"/>
      <c r="N358" s="266"/>
      <c r="O358" s="266"/>
      <c r="P358" s="266"/>
      <c r="Q358" s="266"/>
      <c r="R358" s="266"/>
      <c r="S358" s="216"/>
      <c r="T358" s="216"/>
      <c r="U358" s="217"/>
      <c r="V358" s="216"/>
      <c r="W358" s="216"/>
      <c r="X358" s="216"/>
      <c r="Y358" s="216"/>
      <c r="Z358" s="216"/>
      <c r="AA358" s="216"/>
      <c r="AB358" s="216"/>
      <c r="AC358" s="216"/>
      <c r="AD358" s="216"/>
      <c r="AE358" s="216"/>
      <c r="AF358" s="216"/>
      <c r="AG358" s="216"/>
      <c r="AH358" s="216"/>
      <c r="AI358" s="216"/>
      <c r="AJ358" s="216"/>
      <c r="AK358" s="216"/>
      <c r="AL358" s="216"/>
      <c r="AM358" s="216"/>
      <c r="AN358" s="216"/>
    </row>
    <row r="359">
      <c r="B359" s="267"/>
      <c r="C359" s="266"/>
      <c r="D359" s="266"/>
      <c r="E359" s="266"/>
      <c r="F359" s="266"/>
      <c r="G359" s="266"/>
      <c r="H359" s="266"/>
      <c r="I359" s="266"/>
      <c r="J359" s="266"/>
      <c r="K359" s="266"/>
      <c r="L359" s="266"/>
      <c r="M359" s="266"/>
      <c r="N359" s="266"/>
      <c r="O359" s="266"/>
      <c r="P359" s="266"/>
      <c r="Q359" s="266"/>
      <c r="R359" s="266"/>
      <c r="S359" s="216"/>
      <c r="T359" s="216"/>
      <c r="U359" s="217"/>
      <c r="V359" s="216"/>
      <c r="W359" s="216"/>
      <c r="X359" s="216"/>
      <c r="Y359" s="216"/>
      <c r="Z359" s="216"/>
      <c r="AA359" s="216"/>
      <c r="AB359" s="216"/>
      <c r="AC359" s="216"/>
      <c r="AD359" s="216"/>
      <c r="AE359" s="216"/>
      <c r="AF359" s="216"/>
      <c r="AG359" s="216"/>
      <c r="AH359" s="216"/>
      <c r="AI359" s="216"/>
      <c r="AJ359" s="216"/>
      <c r="AK359" s="216"/>
      <c r="AL359" s="216"/>
      <c r="AM359" s="216"/>
      <c r="AN359" s="216"/>
    </row>
    <row r="360">
      <c r="B360" s="267"/>
      <c r="C360" s="266"/>
      <c r="D360" s="266"/>
      <c r="E360" s="266"/>
      <c r="F360" s="266"/>
      <c r="G360" s="266"/>
      <c r="H360" s="266"/>
      <c r="I360" s="266"/>
      <c r="J360" s="266"/>
      <c r="K360" s="266"/>
      <c r="L360" s="266"/>
      <c r="M360" s="266"/>
      <c r="N360" s="266"/>
      <c r="O360" s="266"/>
      <c r="P360" s="266"/>
      <c r="Q360" s="266"/>
      <c r="R360" s="266"/>
      <c r="S360" s="216"/>
      <c r="T360" s="216"/>
      <c r="U360" s="217"/>
      <c r="V360" s="216"/>
      <c r="W360" s="216"/>
      <c r="X360" s="216"/>
      <c r="Y360" s="216"/>
      <c r="Z360" s="216"/>
      <c r="AA360" s="216"/>
      <c r="AB360" s="216"/>
      <c r="AC360" s="216"/>
      <c r="AD360" s="216"/>
      <c r="AE360" s="216"/>
      <c r="AF360" s="216"/>
      <c r="AG360" s="216"/>
      <c r="AH360" s="216"/>
      <c r="AI360" s="216"/>
      <c r="AJ360" s="216"/>
      <c r="AK360" s="216"/>
      <c r="AL360" s="216"/>
      <c r="AM360" s="216"/>
      <c r="AN360" s="216"/>
    </row>
    <row r="361">
      <c r="B361" s="267"/>
      <c r="C361" s="266"/>
      <c r="D361" s="266"/>
      <c r="E361" s="266"/>
      <c r="F361" s="266"/>
      <c r="G361" s="266"/>
      <c r="H361" s="266"/>
      <c r="I361" s="266"/>
      <c r="J361" s="266"/>
      <c r="K361" s="266"/>
      <c r="L361" s="266"/>
      <c r="M361" s="266"/>
      <c r="N361" s="266"/>
      <c r="O361" s="266"/>
      <c r="P361" s="266"/>
      <c r="Q361" s="266"/>
      <c r="R361" s="266"/>
      <c r="S361" s="216"/>
      <c r="T361" s="216"/>
      <c r="U361" s="217"/>
      <c r="V361" s="216"/>
      <c r="W361" s="216"/>
      <c r="X361" s="216"/>
      <c r="Y361" s="216"/>
      <c r="Z361" s="216"/>
      <c r="AA361" s="216"/>
      <c r="AB361" s="216"/>
      <c r="AC361" s="216"/>
      <c r="AD361" s="216"/>
      <c r="AE361" s="216"/>
      <c r="AF361" s="216"/>
      <c r="AG361" s="216"/>
      <c r="AH361" s="216"/>
      <c r="AI361" s="216"/>
      <c r="AJ361" s="216"/>
      <c r="AK361" s="216"/>
      <c r="AL361" s="216"/>
      <c r="AM361" s="216"/>
      <c r="AN361" s="216"/>
    </row>
    <row r="362">
      <c r="B362" s="267"/>
      <c r="C362" s="266"/>
      <c r="D362" s="266"/>
      <c r="E362" s="266"/>
      <c r="F362" s="266"/>
      <c r="G362" s="266"/>
      <c r="H362" s="266"/>
      <c r="I362" s="266"/>
      <c r="J362" s="266"/>
      <c r="K362" s="266"/>
      <c r="L362" s="266"/>
      <c r="M362" s="266"/>
      <c r="N362" s="266"/>
      <c r="O362" s="266"/>
      <c r="P362" s="266"/>
      <c r="Q362" s="266"/>
      <c r="R362" s="266"/>
      <c r="S362" s="216"/>
      <c r="T362" s="216"/>
      <c r="U362" s="217"/>
      <c r="V362" s="216"/>
      <c r="W362" s="216"/>
      <c r="X362" s="216"/>
      <c r="Y362" s="216"/>
      <c r="Z362" s="216"/>
      <c r="AA362" s="216"/>
      <c r="AB362" s="216"/>
      <c r="AC362" s="216"/>
      <c r="AD362" s="216"/>
      <c r="AE362" s="216"/>
      <c r="AF362" s="216"/>
      <c r="AG362" s="216"/>
      <c r="AH362" s="216"/>
      <c r="AI362" s="216"/>
      <c r="AJ362" s="216"/>
      <c r="AK362" s="216"/>
      <c r="AL362" s="216"/>
      <c r="AM362" s="216"/>
      <c r="AN362" s="216"/>
    </row>
    <row r="363">
      <c r="B363" s="267"/>
      <c r="C363" s="266"/>
      <c r="D363" s="266"/>
      <c r="E363" s="266"/>
      <c r="F363" s="266"/>
      <c r="G363" s="266"/>
      <c r="H363" s="266"/>
      <c r="I363" s="266"/>
      <c r="J363" s="266"/>
      <c r="K363" s="266"/>
      <c r="L363" s="266"/>
      <c r="M363" s="266"/>
      <c r="N363" s="266"/>
      <c r="O363" s="266"/>
      <c r="P363" s="266"/>
      <c r="Q363" s="266"/>
      <c r="R363" s="266"/>
      <c r="S363" s="216"/>
      <c r="T363" s="216"/>
      <c r="U363" s="217"/>
      <c r="V363" s="216"/>
      <c r="W363" s="216"/>
      <c r="X363" s="216"/>
      <c r="Y363" s="216"/>
      <c r="Z363" s="216"/>
      <c r="AA363" s="216"/>
      <c r="AB363" s="216"/>
      <c r="AC363" s="216"/>
      <c r="AD363" s="216"/>
      <c r="AE363" s="216"/>
      <c r="AF363" s="216"/>
      <c r="AG363" s="216"/>
      <c r="AH363" s="216"/>
      <c r="AI363" s="216"/>
      <c r="AJ363" s="216"/>
      <c r="AK363" s="216"/>
      <c r="AL363" s="216"/>
      <c r="AM363" s="216"/>
      <c r="AN363" s="216"/>
    </row>
    <row r="364">
      <c r="B364" s="267"/>
      <c r="C364" s="266"/>
      <c r="D364" s="266"/>
      <c r="E364" s="266"/>
      <c r="F364" s="266"/>
      <c r="G364" s="266"/>
      <c r="H364" s="266"/>
      <c r="I364" s="266"/>
      <c r="J364" s="266"/>
      <c r="K364" s="266"/>
      <c r="L364" s="266"/>
      <c r="M364" s="266"/>
      <c r="N364" s="266"/>
      <c r="O364" s="266"/>
      <c r="P364" s="266"/>
      <c r="Q364" s="266"/>
      <c r="R364" s="266"/>
      <c r="S364" s="216"/>
      <c r="T364" s="216"/>
      <c r="U364" s="217"/>
      <c r="V364" s="216"/>
      <c r="W364" s="216"/>
      <c r="X364" s="216"/>
      <c r="Y364" s="216"/>
      <c r="Z364" s="216"/>
      <c r="AA364" s="216"/>
      <c r="AB364" s="216"/>
      <c r="AC364" s="216"/>
      <c r="AD364" s="216"/>
      <c r="AE364" s="216"/>
      <c r="AF364" s="216"/>
      <c r="AG364" s="216"/>
      <c r="AH364" s="216"/>
      <c r="AI364" s="216"/>
      <c r="AJ364" s="216"/>
      <c r="AK364" s="216"/>
      <c r="AL364" s="216"/>
      <c r="AM364" s="216"/>
      <c r="AN364" s="216"/>
    </row>
    <row r="365">
      <c r="B365" s="267"/>
      <c r="C365" s="266"/>
      <c r="D365" s="266"/>
      <c r="E365" s="266"/>
      <c r="F365" s="266"/>
      <c r="G365" s="266"/>
      <c r="H365" s="266"/>
      <c r="I365" s="266"/>
      <c r="J365" s="266"/>
      <c r="K365" s="266"/>
      <c r="L365" s="266"/>
      <c r="M365" s="266"/>
      <c r="N365" s="266"/>
      <c r="O365" s="266"/>
      <c r="P365" s="266"/>
      <c r="Q365" s="266"/>
      <c r="R365" s="266"/>
      <c r="S365" s="216"/>
      <c r="T365" s="216"/>
      <c r="U365" s="217"/>
      <c r="V365" s="216"/>
      <c r="W365" s="216"/>
      <c r="X365" s="216"/>
      <c r="Y365" s="216"/>
      <c r="Z365" s="216"/>
      <c r="AA365" s="216"/>
      <c r="AB365" s="216"/>
      <c r="AC365" s="216"/>
      <c r="AD365" s="216"/>
      <c r="AE365" s="216"/>
      <c r="AF365" s="216"/>
      <c r="AG365" s="216"/>
      <c r="AH365" s="216"/>
      <c r="AI365" s="216"/>
      <c r="AJ365" s="216"/>
      <c r="AK365" s="216"/>
      <c r="AL365" s="216"/>
      <c r="AM365" s="216"/>
      <c r="AN365" s="216"/>
    </row>
    <row r="366">
      <c r="B366" s="267"/>
      <c r="C366" s="266"/>
      <c r="D366" s="266"/>
      <c r="E366" s="266"/>
      <c r="F366" s="266"/>
      <c r="G366" s="266"/>
      <c r="H366" s="266"/>
      <c r="I366" s="266"/>
      <c r="J366" s="266"/>
      <c r="K366" s="266"/>
      <c r="L366" s="266"/>
      <c r="M366" s="266"/>
      <c r="N366" s="266"/>
      <c r="O366" s="266"/>
      <c r="P366" s="266"/>
      <c r="Q366" s="266"/>
      <c r="R366" s="266"/>
      <c r="S366" s="216"/>
      <c r="T366" s="216"/>
      <c r="U366" s="217"/>
      <c r="V366" s="216"/>
      <c r="W366" s="216"/>
      <c r="X366" s="216"/>
      <c r="Y366" s="216"/>
      <c r="Z366" s="216"/>
      <c r="AA366" s="216"/>
      <c r="AB366" s="216"/>
      <c r="AC366" s="216"/>
      <c r="AD366" s="216"/>
      <c r="AE366" s="216"/>
      <c r="AF366" s="216"/>
      <c r="AG366" s="216"/>
      <c r="AH366" s="216"/>
      <c r="AI366" s="216"/>
      <c r="AJ366" s="216"/>
      <c r="AK366" s="216"/>
      <c r="AL366" s="216"/>
      <c r="AM366" s="216"/>
      <c r="AN366" s="216"/>
    </row>
    <row r="367">
      <c r="B367" s="267"/>
      <c r="C367" s="266"/>
      <c r="D367" s="266"/>
      <c r="E367" s="266"/>
      <c r="F367" s="266"/>
      <c r="G367" s="266"/>
      <c r="H367" s="266"/>
      <c r="I367" s="266"/>
      <c r="J367" s="266"/>
      <c r="K367" s="266"/>
      <c r="L367" s="266"/>
      <c r="M367" s="266"/>
      <c r="N367" s="266"/>
      <c r="O367" s="266"/>
      <c r="P367" s="266"/>
      <c r="Q367" s="266"/>
      <c r="R367" s="266"/>
      <c r="S367" s="216"/>
      <c r="T367" s="216"/>
      <c r="U367" s="217"/>
      <c r="V367" s="216"/>
      <c r="W367" s="216"/>
      <c r="X367" s="216"/>
      <c r="Y367" s="216"/>
      <c r="Z367" s="216"/>
      <c r="AA367" s="216"/>
      <c r="AB367" s="216"/>
      <c r="AC367" s="216"/>
      <c r="AD367" s="216"/>
      <c r="AE367" s="216"/>
      <c r="AF367" s="216"/>
      <c r="AG367" s="216"/>
      <c r="AH367" s="216"/>
      <c r="AI367" s="216"/>
      <c r="AJ367" s="216"/>
      <c r="AK367" s="216"/>
      <c r="AL367" s="216"/>
      <c r="AM367" s="216"/>
      <c r="AN367" s="216"/>
    </row>
    <row r="368">
      <c r="B368" s="267"/>
      <c r="C368" s="266"/>
      <c r="D368" s="266"/>
      <c r="E368" s="266"/>
      <c r="F368" s="266"/>
      <c r="G368" s="266"/>
      <c r="H368" s="266"/>
      <c r="I368" s="266"/>
      <c r="J368" s="266"/>
      <c r="K368" s="266"/>
      <c r="L368" s="266"/>
      <c r="M368" s="266"/>
      <c r="N368" s="266"/>
      <c r="O368" s="266"/>
      <c r="P368" s="266"/>
      <c r="Q368" s="266"/>
      <c r="R368" s="266"/>
      <c r="S368" s="216"/>
      <c r="T368" s="216"/>
      <c r="U368" s="217"/>
      <c r="V368" s="216"/>
      <c r="W368" s="216"/>
      <c r="X368" s="216"/>
      <c r="Y368" s="216"/>
      <c r="Z368" s="216"/>
      <c r="AA368" s="216"/>
      <c r="AB368" s="216"/>
      <c r="AC368" s="216"/>
      <c r="AD368" s="216"/>
      <c r="AE368" s="216"/>
      <c r="AF368" s="216"/>
      <c r="AG368" s="216"/>
      <c r="AH368" s="216"/>
      <c r="AI368" s="216"/>
      <c r="AJ368" s="216"/>
      <c r="AK368" s="216"/>
      <c r="AL368" s="216"/>
      <c r="AM368" s="216"/>
      <c r="AN368" s="216"/>
    </row>
    <row r="369">
      <c r="B369" s="267"/>
      <c r="C369" s="266"/>
      <c r="D369" s="266"/>
      <c r="E369" s="266"/>
      <c r="F369" s="266"/>
      <c r="G369" s="266"/>
      <c r="H369" s="266"/>
      <c r="I369" s="266"/>
      <c r="J369" s="266"/>
      <c r="K369" s="266"/>
      <c r="L369" s="266"/>
      <c r="M369" s="266"/>
      <c r="N369" s="266"/>
      <c r="O369" s="266"/>
      <c r="P369" s="266"/>
      <c r="Q369" s="266"/>
      <c r="R369" s="266"/>
      <c r="S369" s="216"/>
      <c r="T369" s="216"/>
      <c r="U369" s="217"/>
      <c r="V369" s="216"/>
      <c r="W369" s="216"/>
      <c r="X369" s="216"/>
      <c r="Y369" s="216"/>
      <c r="Z369" s="216"/>
      <c r="AA369" s="216"/>
      <c r="AB369" s="216"/>
      <c r="AC369" s="216"/>
      <c r="AD369" s="216"/>
      <c r="AE369" s="216"/>
      <c r="AF369" s="216"/>
      <c r="AG369" s="216"/>
      <c r="AH369" s="216"/>
      <c r="AI369" s="216"/>
      <c r="AJ369" s="216"/>
      <c r="AK369" s="216"/>
      <c r="AL369" s="216"/>
      <c r="AM369" s="216"/>
      <c r="AN369" s="216"/>
    </row>
    <row r="370">
      <c r="B370" s="267"/>
      <c r="C370" s="266"/>
      <c r="D370" s="266"/>
      <c r="E370" s="266"/>
      <c r="F370" s="266"/>
      <c r="G370" s="266"/>
      <c r="H370" s="266"/>
      <c r="I370" s="266"/>
      <c r="J370" s="266"/>
      <c r="K370" s="266"/>
      <c r="L370" s="266"/>
      <c r="M370" s="266"/>
      <c r="N370" s="266"/>
      <c r="O370" s="266"/>
      <c r="P370" s="266"/>
      <c r="Q370" s="266"/>
      <c r="R370" s="266"/>
      <c r="S370" s="216"/>
      <c r="T370" s="216"/>
      <c r="U370" s="217"/>
      <c r="V370" s="216"/>
      <c r="W370" s="216"/>
      <c r="X370" s="216"/>
      <c r="Y370" s="216"/>
      <c r="Z370" s="216"/>
      <c r="AA370" s="216"/>
      <c r="AB370" s="216"/>
      <c r="AC370" s="216"/>
      <c r="AD370" s="216"/>
      <c r="AE370" s="216"/>
      <c r="AF370" s="216"/>
      <c r="AG370" s="216"/>
      <c r="AH370" s="216"/>
      <c r="AI370" s="216"/>
      <c r="AJ370" s="216"/>
      <c r="AK370" s="216"/>
      <c r="AL370" s="216"/>
      <c r="AM370" s="216"/>
      <c r="AN370" s="216"/>
    </row>
    <row r="371">
      <c r="B371" s="267"/>
      <c r="C371" s="266"/>
      <c r="D371" s="266"/>
      <c r="E371" s="266"/>
      <c r="F371" s="266"/>
      <c r="G371" s="266"/>
      <c r="H371" s="266"/>
      <c r="I371" s="266"/>
      <c r="J371" s="266"/>
      <c r="K371" s="266"/>
      <c r="L371" s="266"/>
      <c r="M371" s="266"/>
      <c r="N371" s="266"/>
      <c r="O371" s="266"/>
      <c r="P371" s="266"/>
      <c r="Q371" s="266"/>
      <c r="R371" s="266"/>
      <c r="S371" s="216"/>
      <c r="T371" s="216"/>
      <c r="U371" s="217"/>
      <c r="V371" s="216"/>
      <c r="W371" s="216"/>
      <c r="X371" s="216"/>
      <c r="Y371" s="216"/>
      <c r="Z371" s="216"/>
      <c r="AA371" s="216"/>
      <c r="AB371" s="216"/>
      <c r="AC371" s="216"/>
      <c r="AD371" s="216"/>
      <c r="AE371" s="216"/>
      <c r="AF371" s="216"/>
      <c r="AG371" s="216"/>
      <c r="AH371" s="216"/>
      <c r="AI371" s="216"/>
      <c r="AJ371" s="216"/>
      <c r="AK371" s="216"/>
      <c r="AL371" s="216"/>
      <c r="AM371" s="216"/>
      <c r="AN371" s="216"/>
    </row>
    <row r="372">
      <c r="B372" s="267"/>
      <c r="C372" s="266"/>
      <c r="D372" s="266"/>
      <c r="E372" s="266"/>
      <c r="F372" s="266"/>
      <c r="G372" s="266"/>
      <c r="H372" s="266"/>
      <c r="I372" s="266"/>
      <c r="J372" s="266"/>
      <c r="K372" s="266"/>
      <c r="L372" s="266"/>
      <c r="M372" s="266"/>
      <c r="N372" s="266"/>
      <c r="O372" s="266"/>
      <c r="P372" s="266"/>
      <c r="Q372" s="266"/>
      <c r="R372" s="266"/>
      <c r="S372" s="216"/>
      <c r="T372" s="216"/>
      <c r="U372" s="217"/>
      <c r="V372" s="216"/>
      <c r="W372" s="216"/>
      <c r="X372" s="216"/>
      <c r="Y372" s="216"/>
      <c r="Z372" s="216"/>
      <c r="AA372" s="216"/>
      <c r="AB372" s="216"/>
      <c r="AC372" s="216"/>
      <c r="AD372" s="216"/>
      <c r="AE372" s="216"/>
      <c r="AF372" s="216"/>
      <c r="AG372" s="216"/>
      <c r="AH372" s="216"/>
      <c r="AI372" s="216"/>
      <c r="AJ372" s="216"/>
      <c r="AK372" s="216"/>
      <c r="AL372" s="216"/>
      <c r="AM372" s="216"/>
      <c r="AN372" s="216"/>
    </row>
    <row r="373">
      <c r="B373" s="267"/>
      <c r="C373" s="266"/>
      <c r="D373" s="266"/>
      <c r="E373" s="266"/>
      <c r="F373" s="266"/>
      <c r="G373" s="266"/>
      <c r="H373" s="266"/>
      <c r="I373" s="266"/>
      <c r="J373" s="266"/>
      <c r="K373" s="266"/>
      <c r="L373" s="266"/>
      <c r="M373" s="266"/>
      <c r="N373" s="266"/>
      <c r="O373" s="266"/>
      <c r="P373" s="266"/>
      <c r="Q373" s="266"/>
      <c r="R373" s="266"/>
      <c r="S373" s="216"/>
      <c r="T373" s="216"/>
      <c r="U373" s="217"/>
      <c r="V373" s="216"/>
      <c r="W373" s="216"/>
      <c r="X373" s="216"/>
      <c r="Y373" s="216"/>
      <c r="Z373" s="216"/>
      <c r="AA373" s="216"/>
      <c r="AB373" s="216"/>
      <c r="AC373" s="216"/>
      <c r="AD373" s="216"/>
      <c r="AE373" s="216"/>
      <c r="AF373" s="216"/>
      <c r="AG373" s="216"/>
      <c r="AH373" s="216"/>
      <c r="AI373" s="216"/>
      <c r="AJ373" s="216"/>
      <c r="AK373" s="216"/>
      <c r="AL373" s="216"/>
      <c r="AM373" s="216"/>
      <c r="AN373" s="216"/>
    </row>
    <row r="374">
      <c r="B374" s="267"/>
      <c r="C374" s="266"/>
      <c r="D374" s="266"/>
      <c r="E374" s="266"/>
      <c r="F374" s="266"/>
      <c r="G374" s="266"/>
      <c r="H374" s="266"/>
      <c r="I374" s="266"/>
      <c r="J374" s="266"/>
      <c r="K374" s="266"/>
      <c r="L374" s="266"/>
      <c r="M374" s="266"/>
      <c r="N374" s="266"/>
      <c r="O374" s="266"/>
      <c r="P374" s="266"/>
      <c r="Q374" s="266"/>
      <c r="R374" s="266"/>
      <c r="S374" s="216"/>
      <c r="T374" s="216"/>
      <c r="U374" s="217"/>
      <c r="V374" s="216"/>
      <c r="W374" s="216"/>
      <c r="X374" s="216"/>
      <c r="Y374" s="216"/>
      <c r="Z374" s="216"/>
      <c r="AA374" s="216"/>
      <c r="AB374" s="216"/>
      <c r="AC374" s="216"/>
      <c r="AD374" s="216"/>
      <c r="AE374" s="216"/>
      <c r="AF374" s="216"/>
      <c r="AG374" s="216"/>
      <c r="AH374" s="216"/>
      <c r="AI374" s="216"/>
      <c r="AJ374" s="216"/>
      <c r="AK374" s="216"/>
      <c r="AL374" s="216"/>
      <c r="AM374" s="216"/>
      <c r="AN374" s="216"/>
    </row>
    <row r="375">
      <c r="B375" s="267"/>
      <c r="C375" s="266"/>
      <c r="D375" s="266"/>
      <c r="E375" s="266"/>
      <c r="F375" s="266"/>
      <c r="G375" s="266"/>
      <c r="H375" s="266"/>
      <c r="I375" s="266"/>
      <c r="J375" s="266"/>
      <c r="K375" s="266"/>
      <c r="L375" s="266"/>
      <c r="M375" s="266"/>
      <c r="N375" s="266"/>
      <c r="O375" s="266"/>
      <c r="P375" s="266"/>
      <c r="Q375" s="266"/>
      <c r="R375" s="266"/>
      <c r="S375" s="216"/>
      <c r="T375" s="216"/>
      <c r="U375" s="217"/>
      <c r="V375" s="216"/>
      <c r="W375" s="216"/>
      <c r="X375" s="216"/>
      <c r="Y375" s="216"/>
      <c r="Z375" s="216"/>
      <c r="AA375" s="216"/>
      <c r="AB375" s="216"/>
      <c r="AC375" s="216"/>
      <c r="AD375" s="216"/>
      <c r="AE375" s="216"/>
      <c r="AF375" s="216"/>
      <c r="AG375" s="216"/>
      <c r="AH375" s="216"/>
      <c r="AI375" s="216"/>
      <c r="AJ375" s="216"/>
      <c r="AK375" s="216"/>
      <c r="AL375" s="216"/>
      <c r="AM375" s="216"/>
      <c r="AN375" s="216"/>
    </row>
    <row r="376">
      <c r="B376" s="267"/>
      <c r="C376" s="266"/>
      <c r="D376" s="266"/>
      <c r="E376" s="266"/>
      <c r="F376" s="266"/>
      <c r="G376" s="266"/>
      <c r="H376" s="266"/>
      <c r="I376" s="266"/>
      <c r="J376" s="266"/>
      <c r="K376" s="266"/>
      <c r="L376" s="266"/>
      <c r="M376" s="266"/>
      <c r="N376" s="266"/>
      <c r="O376" s="266"/>
      <c r="P376" s="266"/>
      <c r="Q376" s="266"/>
      <c r="R376" s="266"/>
      <c r="S376" s="216"/>
      <c r="T376" s="216"/>
      <c r="U376" s="217"/>
      <c r="V376" s="216"/>
      <c r="W376" s="216"/>
      <c r="X376" s="216"/>
      <c r="Y376" s="216"/>
      <c r="Z376" s="216"/>
      <c r="AA376" s="216"/>
      <c r="AB376" s="216"/>
      <c r="AC376" s="216"/>
      <c r="AD376" s="216"/>
      <c r="AE376" s="216"/>
      <c r="AF376" s="216"/>
      <c r="AG376" s="216"/>
      <c r="AH376" s="216"/>
      <c r="AI376" s="216"/>
      <c r="AJ376" s="216"/>
      <c r="AK376" s="216"/>
      <c r="AL376" s="216"/>
      <c r="AM376" s="216"/>
      <c r="AN376" s="216"/>
    </row>
    <row r="377">
      <c r="B377" s="267"/>
      <c r="C377" s="266"/>
      <c r="D377" s="266"/>
      <c r="E377" s="266"/>
      <c r="F377" s="266"/>
      <c r="G377" s="266"/>
      <c r="H377" s="266"/>
      <c r="I377" s="266"/>
      <c r="J377" s="266"/>
      <c r="K377" s="266"/>
      <c r="L377" s="266"/>
      <c r="M377" s="266"/>
      <c r="N377" s="266"/>
      <c r="O377" s="266"/>
      <c r="P377" s="266"/>
      <c r="Q377" s="266"/>
      <c r="R377" s="266"/>
      <c r="S377" s="216"/>
      <c r="T377" s="216"/>
      <c r="U377" s="217"/>
      <c r="V377" s="216"/>
      <c r="W377" s="216"/>
      <c r="X377" s="216"/>
      <c r="Y377" s="216"/>
      <c r="Z377" s="216"/>
      <c r="AA377" s="216"/>
      <c r="AB377" s="216"/>
      <c r="AC377" s="216"/>
      <c r="AD377" s="216"/>
      <c r="AE377" s="216"/>
      <c r="AF377" s="216"/>
      <c r="AG377" s="216"/>
      <c r="AH377" s="216"/>
      <c r="AI377" s="216"/>
      <c r="AJ377" s="216"/>
      <c r="AK377" s="216"/>
      <c r="AL377" s="216"/>
      <c r="AM377" s="216"/>
      <c r="AN377" s="216"/>
    </row>
    <row r="378">
      <c r="B378" s="267"/>
      <c r="C378" s="266"/>
      <c r="D378" s="266"/>
      <c r="E378" s="266"/>
      <c r="F378" s="266"/>
      <c r="G378" s="266"/>
      <c r="H378" s="266"/>
      <c r="I378" s="266"/>
      <c r="J378" s="266"/>
      <c r="K378" s="266"/>
      <c r="L378" s="266"/>
      <c r="M378" s="266"/>
      <c r="N378" s="266"/>
      <c r="O378" s="266"/>
      <c r="P378" s="266"/>
      <c r="Q378" s="266"/>
      <c r="R378" s="266"/>
      <c r="S378" s="216"/>
      <c r="T378" s="216"/>
      <c r="U378" s="217"/>
      <c r="V378" s="216"/>
      <c r="W378" s="216"/>
      <c r="X378" s="216"/>
      <c r="Y378" s="216"/>
      <c r="Z378" s="216"/>
      <c r="AA378" s="216"/>
      <c r="AB378" s="216"/>
      <c r="AC378" s="216"/>
      <c r="AD378" s="216"/>
      <c r="AE378" s="216"/>
      <c r="AF378" s="216"/>
      <c r="AG378" s="216"/>
      <c r="AH378" s="216"/>
      <c r="AI378" s="216"/>
      <c r="AJ378" s="216"/>
      <c r="AK378" s="216"/>
      <c r="AL378" s="216"/>
      <c r="AM378" s="216"/>
      <c r="AN378" s="216"/>
    </row>
    <row r="379">
      <c r="B379" s="267"/>
      <c r="C379" s="266"/>
      <c r="D379" s="266"/>
      <c r="E379" s="266"/>
      <c r="F379" s="266"/>
      <c r="G379" s="266"/>
      <c r="H379" s="266"/>
      <c r="I379" s="266"/>
      <c r="J379" s="266"/>
      <c r="K379" s="266"/>
      <c r="L379" s="266"/>
      <c r="M379" s="266"/>
      <c r="N379" s="266"/>
      <c r="O379" s="266"/>
      <c r="P379" s="266"/>
      <c r="Q379" s="266"/>
      <c r="R379" s="266"/>
      <c r="S379" s="216"/>
      <c r="T379" s="216"/>
      <c r="U379" s="217"/>
      <c r="V379" s="216"/>
      <c r="W379" s="216"/>
      <c r="X379" s="216"/>
      <c r="Y379" s="216"/>
      <c r="Z379" s="216"/>
      <c r="AA379" s="216"/>
      <c r="AB379" s="216"/>
      <c r="AC379" s="216"/>
      <c r="AD379" s="216"/>
      <c r="AE379" s="216"/>
      <c r="AF379" s="216"/>
      <c r="AG379" s="216"/>
      <c r="AH379" s="216"/>
      <c r="AI379" s="216"/>
      <c r="AJ379" s="216"/>
      <c r="AK379" s="216"/>
      <c r="AL379" s="216"/>
      <c r="AM379" s="216"/>
      <c r="AN379" s="216"/>
    </row>
    <row r="380">
      <c r="B380" s="267"/>
      <c r="C380" s="266"/>
      <c r="D380" s="266"/>
      <c r="E380" s="266"/>
      <c r="F380" s="266"/>
      <c r="G380" s="266"/>
      <c r="H380" s="266"/>
      <c r="I380" s="266"/>
      <c r="J380" s="266"/>
      <c r="K380" s="266"/>
      <c r="L380" s="266"/>
      <c r="M380" s="266"/>
      <c r="N380" s="266"/>
      <c r="O380" s="266"/>
      <c r="P380" s="266"/>
      <c r="Q380" s="266"/>
      <c r="R380" s="266"/>
      <c r="S380" s="216"/>
      <c r="T380" s="216"/>
      <c r="U380" s="217"/>
      <c r="V380" s="216"/>
      <c r="W380" s="216"/>
      <c r="X380" s="216"/>
      <c r="Y380" s="216"/>
      <c r="Z380" s="216"/>
      <c r="AA380" s="216"/>
      <c r="AB380" s="216"/>
      <c r="AC380" s="216"/>
      <c r="AD380" s="216"/>
      <c r="AE380" s="216"/>
      <c r="AF380" s="216"/>
      <c r="AG380" s="216"/>
      <c r="AH380" s="216"/>
      <c r="AI380" s="216"/>
      <c r="AJ380" s="216"/>
      <c r="AK380" s="216"/>
      <c r="AL380" s="216"/>
      <c r="AM380" s="216"/>
      <c r="AN380" s="216"/>
    </row>
    <row r="381">
      <c r="B381" s="267"/>
      <c r="C381" s="266"/>
      <c r="D381" s="266"/>
      <c r="E381" s="266"/>
      <c r="F381" s="266"/>
      <c r="G381" s="266"/>
      <c r="H381" s="266"/>
      <c r="I381" s="266"/>
      <c r="J381" s="266"/>
      <c r="K381" s="266"/>
      <c r="L381" s="266"/>
      <c r="M381" s="266"/>
      <c r="N381" s="266"/>
      <c r="O381" s="266"/>
      <c r="P381" s="266"/>
      <c r="Q381" s="266"/>
      <c r="R381" s="266"/>
      <c r="S381" s="216"/>
      <c r="T381" s="216"/>
      <c r="U381" s="217"/>
      <c r="V381" s="216"/>
      <c r="W381" s="216"/>
      <c r="X381" s="216"/>
      <c r="Y381" s="216"/>
      <c r="Z381" s="216"/>
      <c r="AA381" s="216"/>
      <c r="AB381" s="216"/>
      <c r="AC381" s="216"/>
      <c r="AD381" s="216"/>
      <c r="AE381" s="216"/>
      <c r="AF381" s="216"/>
      <c r="AG381" s="216"/>
      <c r="AH381" s="216"/>
      <c r="AI381" s="216"/>
      <c r="AJ381" s="216"/>
      <c r="AK381" s="216"/>
      <c r="AL381" s="216"/>
      <c r="AM381" s="216"/>
      <c r="AN381" s="216"/>
    </row>
    <row r="382">
      <c r="B382" s="267"/>
      <c r="C382" s="266"/>
      <c r="D382" s="266"/>
      <c r="E382" s="266"/>
      <c r="F382" s="266"/>
      <c r="G382" s="266"/>
      <c r="H382" s="266"/>
      <c r="I382" s="266"/>
      <c r="J382" s="266"/>
      <c r="K382" s="266"/>
      <c r="L382" s="266"/>
      <c r="M382" s="266"/>
      <c r="N382" s="266"/>
      <c r="O382" s="266"/>
      <c r="P382" s="266"/>
      <c r="Q382" s="266"/>
      <c r="R382" s="266"/>
      <c r="S382" s="216"/>
      <c r="T382" s="216"/>
      <c r="U382" s="217"/>
      <c r="V382" s="216"/>
      <c r="W382" s="216"/>
      <c r="X382" s="216"/>
      <c r="Y382" s="216"/>
      <c r="Z382" s="216"/>
      <c r="AA382" s="216"/>
      <c r="AB382" s="216"/>
      <c r="AC382" s="216"/>
      <c r="AD382" s="216"/>
      <c r="AE382" s="216"/>
      <c r="AF382" s="216"/>
      <c r="AG382" s="216"/>
      <c r="AH382" s="216"/>
      <c r="AI382" s="216"/>
      <c r="AJ382" s="216"/>
      <c r="AK382" s="216"/>
      <c r="AL382" s="216"/>
      <c r="AM382" s="216"/>
      <c r="AN382" s="216"/>
    </row>
    <row r="383">
      <c r="B383" s="267"/>
      <c r="C383" s="266"/>
      <c r="D383" s="266"/>
      <c r="E383" s="266"/>
      <c r="F383" s="266"/>
      <c r="G383" s="266"/>
      <c r="H383" s="266"/>
      <c r="I383" s="266"/>
      <c r="J383" s="266"/>
      <c r="K383" s="266"/>
      <c r="L383" s="266"/>
      <c r="M383" s="266"/>
      <c r="N383" s="266"/>
      <c r="O383" s="266"/>
      <c r="P383" s="266"/>
      <c r="Q383" s="266"/>
      <c r="R383" s="266"/>
      <c r="S383" s="216"/>
      <c r="T383" s="216"/>
      <c r="U383" s="217"/>
      <c r="V383" s="216"/>
      <c r="W383" s="216"/>
      <c r="X383" s="216"/>
      <c r="Y383" s="216"/>
      <c r="Z383" s="216"/>
      <c r="AA383" s="216"/>
      <c r="AB383" s="216"/>
      <c r="AC383" s="216"/>
      <c r="AD383" s="216"/>
      <c r="AE383" s="216"/>
      <c r="AF383" s="216"/>
      <c r="AG383" s="216"/>
      <c r="AH383" s="216"/>
      <c r="AI383" s="216"/>
      <c r="AJ383" s="216"/>
      <c r="AK383" s="216"/>
      <c r="AL383" s="216"/>
      <c r="AM383" s="216"/>
      <c r="AN383" s="216"/>
    </row>
    <row r="384">
      <c r="B384" s="267"/>
      <c r="C384" s="266"/>
      <c r="D384" s="266"/>
      <c r="E384" s="266"/>
      <c r="F384" s="266"/>
      <c r="G384" s="266"/>
      <c r="H384" s="266"/>
      <c r="I384" s="266"/>
      <c r="J384" s="266"/>
      <c r="K384" s="266"/>
      <c r="L384" s="266"/>
      <c r="M384" s="266"/>
      <c r="N384" s="266"/>
      <c r="O384" s="266"/>
      <c r="P384" s="266"/>
      <c r="Q384" s="266"/>
      <c r="R384" s="266"/>
      <c r="S384" s="216"/>
      <c r="T384" s="216"/>
      <c r="U384" s="217"/>
      <c r="V384" s="216"/>
      <c r="W384" s="216"/>
      <c r="X384" s="216"/>
      <c r="Y384" s="216"/>
      <c r="Z384" s="216"/>
      <c r="AA384" s="216"/>
      <c r="AB384" s="216"/>
      <c r="AC384" s="216"/>
      <c r="AD384" s="216"/>
      <c r="AE384" s="216"/>
      <c r="AF384" s="216"/>
      <c r="AG384" s="216"/>
      <c r="AH384" s="216"/>
      <c r="AI384" s="216"/>
      <c r="AJ384" s="216"/>
      <c r="AK384" s="216"/>
      <c r="AL384" s="216"/>
      <c r="AM384" s="216"/>
      <c r="AN384" s="216"/>
    </row>
    <row r="385">
      <c r="B385" s="267"/>
      <c r="C385" s="266"/>
      <c r="D385" s="266"/>
      <c r="E385" s="266"/>
      <c r="F385" s="266"/>
      <c r="G385" s="266"/>
      <c r="H385" s="266"/>
      <c r="I385" s="266"/>
      <c r="J385" s="266"/>
      <c r="K385" s="266"/>
      <c r="L385" s="266"/>
      <c r="M385" s="266"/>
      <c r="N385" s="266"/>
      <c r="O385" s="266"/>
      <c r="P385" s="266"/>
      <c r="Q385" s="266"/>
      <c r="R385" s="266"/>
      <c r="S385" s="216"/>
      <c r="T385" s="216"/>
      <c r="U385" s="217"/>
      <c r="V385" s="216"/>
      <c r="W385" s="216"/>
      <c r="X385" s="216"/>
      <c r="Y385" s="216"/>
      <c r="Z385" s="216"/>
      <c r="AA385" s="216"/>
      <c r="AB385" s="216"/>
      <c r="AC385" s="216"/>
      <c r="AD385" s="216"/>
      <c r="AE385" s="216"/>
      <c r="AF385" s="216"/>
      <c r="AG385" s="216"/>
      <c r="AH385" s="216"/>
      <c r="AI385" s="216"/>
      <c r="AJ385" s="216"/>
      <c r="AK385" s="216"/>
      <c r="AL385" s="216"/>
      <c r="AM385" s="216"/>
      <c r="AN385" s="216"/>
    </row>
    <row r="386">
      <c r="B386" s="267"/>
      <c r="C386" s="266"/>
      <c r="D386" s="266"/>
      <c r="E386" s="266"/>
      <c r="F386" s="266"/>
      <c r="G386" s="266"/>
      <c r="H386" s="266"/>
      <c r="I386" s="266"/>
      <c r="J386" s="266"/>
      <c r="K386" s="266"/>
      <c r="L386" s="266"/>
      <c r="M386" s="266"/>
      <c r="N386" s="266"/>
      <c r="O386" s="266"/>
      <c r="P386" s="266"/>
      <c r="Q386" s="266"/>
      <c r="R386" s="266"/>
      <c r="S386" s="216"/>
      <c r="T386" s="216"/>
      <c r="U386" s="217"/>
      <c r="V386" s="216"/>
      <c r="W386" s="216"/>
      <c r="X386" s="216"/>
      <c r="Y386" s="216"/>
      <c r="Z386" s="216"/>
      <c r="AA386" s="216"/>
      <c r="AB386" s="216"/>
      <c r="AC386" s="216"/>
      <c r="AD386" s="216"/>
      <c r="AE386" s="216"/>
      <c r="AF386" s="216"/>
      <c r="AG386" s="216"/>
      <c r="AH386" s="216"/>
      <c r="AI386" s="216"/>
      <c r="AJ386" s="216"/>
      <c r="AK386" s="216"/>
      <c r="AL386" s="216"/>
      <c r="AM386" s="216"/>
      <c r="AN386" s="216"/>
    </row>
    <row r="387">
      <c r="B387" s="267"/>
      <c r="C387" s="266"/>
      <c r="D387" s="266"/>
      <c r="E387" s="266"/>
      <c r="F387" s="266"/>
      <c r="G387" s="266"/>
      <c r="H387" s="266"/>
      <c r="I387" s="266"/>
      <c r="J387" s="266"/>
      <c r="K387" s="266"/>
      <c r="L387" s="266"/>
      <c r="M387" s="266"/>
      <c r="N387" s="266"/>
      <c r="O387" s="266"/>
      <c r="P387" s="266"/>
      <c r="Q387" s="266"/>
      <c r="R387" s="266"/>
      <c r="S387" s="216"/>
      <c r="T387" s="216"/>
      <c r="U387" s="217"/>
      <c r="V387" s="216"/>
      <c r="W387" s="216"/>
      <c r="X387" s="216"/>
      <c r="Y387" s="216"/>
      <c r="Z387" s="216"/>
      <c r="AA387" s="216"/>
      <c r="AB387" s="216"/>
      <c r="AC387" s="216"/>
      <c r="AD387" s="216"/>
      <c r="AE387" s="216"/>
      <c r="AF387" s="216"/>
      <c r="AG387" s="216"/>
      <c r="AH387" s="216"/>
      <c r="AI387" s="216"/>
      <c r="AJ387" s="216"/>
      <c r="AK387" s="216"/>
      <c r="AL387" s="216"/>
      <c r="AM387" s="216"/>
      <c r="AN387" s="216"/>
    </row>
    <row r="388">
      <c r="B388" s="267"/>
      <c r="C388" s="266"/>
      <c r="D388" s="266"/>
      <c r="E388" s="266"/>
      <c r="F388" s="266"/>
      <c r="G388" s="266"/>
      <c r="H388" s="266"/>
      <c r="I388" s="266"/>
      <c r="J388" s="266"/>
      <c r="K388" s="266"/>
      <c r="L388" s="266"/>
      <c r="M388" s="266"/>
      <c r="N388" s="266"/>
      <c r="O388" s="266"/>
      <c r="P388" s="266"/>
      <c r="Q388" s="266"/>
      <c r="R388" s="266"/>
      <c r="S388" s="216"/>
      <c r="T388" s="216"/>
      <c r="U388" s="217"/>
      <c r="V388" s="216"/>
      <c r="W388" s="216"/>
      <c r="X388" s="216"/>
      <c r="Y388" s="216"/>
      <c r="Z388" s="216"/>
      <c r="AA388" s="216"/>
      <c r="AB388" s="216"/>
      <c r="AC388" s="216"/>
      <c r="AD388" s="216"/>
      <c r="AE388" s="216"/>
      <c r="AF388" s="216"/>
      <c r="AG388" s="216"/>
      <c r="AH388" s="216"/>
      <c r="AI388" s="216"/>
      <c r="AJ388" s="216"/>
      <c r="AK388" s="216"/>
      <c r="AL388" s="216"/>
      <c r="AM388" s="216"/>
      <c r="AN388" s="216"/>
    </row>
    <row r="389">
      <c r="B389" s="267"/>
      <c r="C389" s="266"/>
      <c r="D389" s="266"/>
      <c r="E389" s="266"/>
      <c r="F389" s="266"/>
      <c r="G389" s="266"/>
      <c r="H389" s="266"/>
      <c r="I389" s="266"/>
      <c r="J389" s="266"/>
      <c r="K389" s="266"/>
      <c r="L389" s="266"/>
      <c r="M389" s="266"/>
      <c r="N389" s="266"/>
      <c r="O389" s="266"/>
      <c r="P389" s="266"/>
      <c r="Q389" s="266"/>
      <c r="R389" s="266"/>
      <c r="S389" s="216"/>
      <c r="T389" s="216"/>
      <c r="U389" s="217"/>
      <c r="V389" s="216"/>
      <c r="W389" s="216"/>
      <c r="X389" s="216"/>
      <c r="Y389" s="216"/>
      <c r="Z389" s="216"/>
      <c r="AA389" s="216"/>
      <c r="AB389" s="216"/>
      <c r="AC389" s="216"/>
      <c r="AD389" s="216"/>
      <c r="AE389" s="216"/>
      <c r="AF389" s="216"/>
      <c r="AG389" s="216"/>
      <c r="AH389" s="216"/>
      <c r="AI389" s="216"/>
      <c r="AJ389" s="216"/>
      <c r="AK389" s="216"/>
      <c r="AL389" s="216"/>
      <c r="AM389" s="216"/>
      <c r="AN389" s="216"/>
    </row>
    <row r="390">
      <c r="B390" s="267"/>
      <c r="C390" s="266"/>
      <c r="D390" s="266"/>
      <c r="E390" s="266"/>
      <c r="F390" s="266"/>
      <c r="G390" s="266"/>
      <c r="H390" s="266"/>
      <c r="I390" s="266"/>
      <c r="J390" s="266"/>
      <c r="K390" s="266"/>
      <c r="L390" s="266"/>
      <c r="M390" s="266"/>
      <c r="N390" s="266"/>
      <c r="O390" s="266"/>
      <c r="P390" s="266"/>
      <c r="Q390" s="266"/>
      <c r="R390" s="266"/>
      <c r="S390" s="216"/>
      <c r="T390" s="216"/>
      <c r="U390" s="217"/>
      <c r="V390" s="216"/>
      <c r="W390" s="216"/>
      <c r="X390" s="216"/>
      <c r="Y390" s="216"/>
      <c r="Z390" s="216"/>
      <c r="AA390" s="216"/>
      <c r="AB390" s="216"/>
      <c r="AC390" s="216"/>
      <c r="AD390" s="216"/>
      <c r="AE390" s="216"/>
      <c r="AF390" s="216"/>
      <c r="AG390" s="216"/>
      <c r="AH390" s="216"/>
      <c r="AI390" s="216"/>
      <c r="AJ390" s="216"/>
      <c r="AK390" s="216"/>
      <c r="AL390" s="216"/>
      <c r="AM390" s="216"/>
      <c r="AN390" s="216"/>
    </row>
    <row r="391">
      <c r="B391" s="267"/>
      <c r="C391" s="266"/>
      <c r="D391" s="266"/>
      <c r="E391" s="266"/>
      <c r="F391" s="266"/>
      <c r="G391" s="266"/>
      <c r="H391" s="266"/>
      <c r="I391" s="266"/>
      <c r="J391" s="266"/>
      <c r="K391" s="266"/>
      <c r="L391" s="266"/>
      <c r="M391" s="266"/>
      <c r="N391" s="266"/>
      <c r="O391" s="266"/>
      <c r="P391" s="266"/>
      <c r="Q391" s="266"/>
      <c r="R391" s="266"/>
      <c r="S391" s="216"/>
      <c r="T391" s="216"/>
      <c r="U391" s="217"/>
      <c r="V391" s="216"/>
      <c r="W391" s="216"/>
      <c r="X391" s="216"/>
      <c r="Y391" s="216"/>
      <c r="Z391" s="216"/>
      <c r="AA391" s="216"/>
      <c r="AB391" s="216"/>
      <c r="AC391" s="216"/>
      <c r="AD391" s="216"/>
      <c r="AE391" s="216"/>
      <c r="AF391" s="216"/>
      <c r="AG391" s="216"/>
      <c r="AH391" s="216"/>
      <c r="AI391" s="216"/>
      <c r="AJ391" s="216"/>
      <c r="AK391" s="216"/>
      <c r="AL391" s="216"/>
      <c r="AM391" s="216"/>
      <c r="AN391" s="216"/>
    </row>
    <row r="392">
      <c r="B392" s="267"/>
      <c r="C392" s="266"/>
      <c r="D392" s="266"/>
      <c r="E392" s="266"/>
      <c r="F392" s="266"/>
      <c r="G392" s="266"/>
      <c r="H392" s="266"/>
      <c r="I392" s="266"/>
      <c r="J392" s="266"/>
      <c r="K392" s="266"/>
      <c r="L392" s="266"/>
      <c r="M392" s="266"/>
      <c r="N392" s="266"/>
      <c r="O392" s="266"/>
      <c r="P392" s="266"/>
      <c r="Q392" s="266"/>
      <c r="R392" s="266"/>
      <c r="S392" s="216"/>
      <c r="T392" s="216"/>
      <c r="U392" s="217"/>
      <c r="V392" s="216"/>
      <c r="W392" s="216"/>
      <c r="X392" s="216"/>
      <c r="Y392" s="216"/>
      <c r="Z392" s="216"/>
      <c r="AA392" s="216"/>
      <c r="AB392" s="216"/>
      <c r="AC392" s="216"/>
      <c r="AD392" s="216"/>
      <c r="AE392" s="216"/>
      <c r="AF392" s="216"/>
      <c r="AG392" s="216"/>
      <c r="AH392" s="216"/>
      <c r="AI392" s="216"/>
      <c r="AJ392" s="216"/>
      <c r="AK392" s="216"/>
      <c r="AL392" s="216"/>
      <c r="AM392" s="216"/>
      <c r="AN392" s="216"/>
    </row>
    <row r="393">
      <c r="B393" s="267"/>
      <c r="C393" s="266"/>
      <c r="D393" s="266"/>
      <c r="E393" s="266"/>
      <c r="F393" s="266"/>
      <c r="G393" s="266"/>
      <c r="H393" s="266"/>
      <c r="I393" s="266"/>
      <c r="J393" s="266"/>
      <c r="K393" s="266"/>
      <c r="L393" s="266"/>
      <c r="M393" s="266"/>
      <c r="N393" s="266"/>
      <c r="O393" s="266"/>
      <c r="P393" s="266"/>
      <c r="Q393" s="266"/>
      <c r="R393" s="266"/>
      <c r="S393" s="216"/>
      <c r="T393" s="216"/>
      <c r="U393" s="217"/>
      <c r="V393" s="216"/>
      <c r="W393" s="216"/>
      <c r="X393" s="216"/>
      <c r="Y393" s="216"/>
      <c r="Z393" s="216"/>
      <c r="AA393" s="216"/>
      <c r="AB393" s="216"/>
      <c r="AC393" s="216"/>
      <c r="AD393" s="216"/>
      <c r="AE393" s="216"/>
      <c r="AF393" s="216"/>
      <c r="AG393" s="216"/>
      <c r="AH393" s="216"/>
      <c r="AI393" s="216"/>
      <c r="AJ393" s="216"/>
      <c r="AK393" s="216"/>
      <c r="AL393" s="216"/>
      <c r="AM393" s="216"/>
      <c r="AN393" s="216"/>
    </row>
    <row r="394">
      <c r="B394" s="267"/>
      <c r="C394" s="266"/>
      <c r="D394" s="266"/>
      <c r="E394" s="266"/>
      <c r="F394" s="266"/>
      <c r="G394" s="266"/>
      <c r="H394" s="266"/>
      <c r="I394" s="266"/>
      <c r="J394" s="266"/>
      <c r="K394" s="266"/>
      <c r="L394" s="266"/>
      <c r="M394" s="266"/>
      <c r="N394" s="266"/>
      <c r="O394" s="266"/>
      <c r="P394" s="266"/>
      <c r="Q394" s="266"/>
      <c r="R394" s="266"/>
      <c r="S394" s="216"/>
      <c r="T394" s="216"/>
      <c r="U394" s="217"/>
      <c r="V394" s="216"/>
      <c r="W394" s="216"/>
      <c r="X394" s="216"/>
      <c r="Y394" s="216"/>
      <c r="Z394" s="216"/>
      <c r="AA394" s="216"/>
      <c r="AB394" s="216"/>
      <c r="AC394" s="216"/>
      <c r="AD394" s="216"/>
      <c r="AE394" s="216"/>
      <c r="AF394" s="216"/>
      <c r="AG394" s="216"/>
      <c r="AH394" s="216"/>
      <c r="AI394" s="216"/>
      <c r="AJ394" s="216"/>
      <c r="AK394" s="216"/>
      <c r="AL394" s="216"/>
      <c r="AM394" s="216"/>
      <c r="AN394" s="216"/>
    </row>
    <row r="395">
      <c r="B395" s="267"/>
      <c r="C395" s="266"/>
      <c r="D395" s="266"/>
      <c r="E395" s="266"/>
      <c r="F395" s="266"/>
      <c r="G395" s="266"/>
      <c r="H395" s="266"/>
      <c r="I395" s="266"/>
      <c r="J395" s="266"/>
      <c r="K395" s="266"/>
      <c r="L395" s="266"/>
      <c r="M395" s="266"/>
      <c r="N395" s="266"/>
      <c r="O395" s="266"/>
      <c r="P395" s="266"/>
      <c r="Q395" s="266"/>
      <c r="R395" s="266"/>
      <c r="S395" s="216"/>
      <c r="T395" s="216"/>
      <c r="U395" s="217"/>
      <c r="V395" s="216"/>
      <c r="W395" s="216"/>
      <c r="X395" s="216"/>
      <c r="Y395" s="216"/>
      <c r="Z395" s="216"/>
      <c r="AA395" s="216"/>
      <c r="AB395" s="216"/>
      <c r="AC395" s="216"/>
      <c r="AD395" s="216"/>
      <c r="AE395" s="216"/>
      <c r="AF395" s="216"/>
      <c r="AG395" s="216"/>
      <c r="AH395" s="216"/>
      <c r="AI395" s="216"/>
      <c r="AJ395" s="216"/>
      <c r="AK395" s="216"/>
      <c r="AL395" s="216"/>
      <c r="AM395" s="216"/>
      <c r="AN395" s="216"/>
    </row>
    <row r="396">
      <c r="B396" s="267"/>
      <c r="C396" s="266"/>
      <c r="D396" s="266"/>
      <c r="E396" s="266"/>
      <c r="F396" s="266"/>
      <c r="G396" s="266"/>
      <c r="H396" s="266"/>
      <c r="I396" s="266"/>
      <c r="J396" s="266"/>
      <c r="K396" s="266"/>
      <c r="L396" s="266"/>
      <c r="M396" s="266"/>
      <c r="N396" s="266"/>
      <c r="O396" s="266"/>
      <c r="P396" s="266"/>
      <c r="Q396" s="266"/>
      <c r="R396" s="266"/>
      <c r="S396" s="216"/>
      <c r="T396" s="216"/>
      <c r="U396" s="217"/>
      <c r="V396" s="216"/>
      <c r="W396" s="216"/>
      <c r="X396" s="216"/>
      <c r="Y396" s="216"/>
      <c r="Z396" s="216"/>
      <c r="AA396" s="216"/>
      <c r="AB396" s="216"/>
      <c r="AC396" s="216"/>
      <c r="AD396" s="216"/>
      <c r="AE396" s="216"/>
      <c r="AF396" s="216"/>
      <c r="AG396" s="216"/>
      <c r="AH396" s="216"/>
      <c r="AI396" s="216"/>
      <c r="AJ396" s="216"/>
      <c r="AK396" s="216"/>
      <c r="AL396" s="216"/>
      <c r="AM396" s="216"/>
      <c r="AN396" s="216"/>
    </row>
    <row r="397">
      <c r="B397" s="267"/>
      <c r="C397" s="266"/>
      <c r="D397" s="266"/>
      <c r="E397" s="266"/>
      <c r="F397" s="266"/>
      <c r="G397" s="266"/>
      <c r="H397" s="266"/>
      <c r="I397" s="266"/>
      <c r="J397" s="266"/>
      <c r="K397" s="266"/>
      <c r="L397" s="266"/>
      <c r="M397" s="266"/>
      <c r="N397" s="266"/>
      <c r="O397" s="266"/>
      <c r="P397" s="266"/>
      <c r="Q397" s="266"/>
      <c r="R397" s="266"/>
      <c r="S397" s="216"/>
      <c r="T397" s="216"/>
      <c r="U397" s="217"/>
      <c r="V397" s="216"/>
      <c r="W397" s="216"/>
      <c r="X397" s="216"/>
      <c r="Y397" s="216"/>
      <c r="Z397" s="216"/>
      <c r="AA397" s="216"/>
      <c r="AB397" s="216"/>
      <c r="AC397" s="216"/>
      <c r="AD397" s="216"/>
      <c r="AE397" s="216"/>
      <c r="AF397" s="216"/>
      <c r="AG397" s="216"/>
      <c r="AH397" s="216"/>
      <c r="AI397" s="216"/>
      <c r="AJ397" s="216"/>
      <c r="AK397" s="216"/>
      <c r="AL397" s="216"/>
      <c r="AM397" s="216"/>
      <c r="AN397" s="216"/>
    </row>
    <row r="398">
      <c r="B398" s="267"/>
      <c r="C398" s="266"/>
      <c r="D398" s="266"/>
      <c r="E398" s="266"/>
      <c r="F398" s="266"/>
      <c r="G398" s="266"/>
      <c r="H398" s="266"/>
      <c r="I398" s="266"/>
      <c r="J398" s="266"/>
      <c r="K398" s="266"/>
      <c r="L398" s="266"/>
      <c r="M398" s="266"/>
      <c r="N398" s="266"/>
      <c r="O398" s="266"/>
      <c r="P398" s="266"/>
      <c r="Q398" s="266"/>
      <c r="R398" s="266"/>
      <c r="S398" s="216"/>
      <c r="T398" s="216"/>
      <c r="U398" s="217"/>
      <c r="V398" s="216"/>
      <c r="W398" s="216"/>
      <c r="X398" s="216"/>
      <c r="Y398" s="216"/>
      <c r="Z398" s="216"/>
      <c r="AA398" s="216"/>
      <c r="AB398" s="216"/>
      <c r="AC398" s="216"/>
      <c r="AD398" s="216"/>
      <c r="AE398" s="216"/>
      <c r="AF398" s="216"/>
      <c r="AG398" s="216"/>
      <c r="AH398" s="216"/>
      <c r="AI398" s="216"/>
      <c r="AJ398" s="216"/>
      <c r="AK398" s="216"/>
      <c r="AL398" s="216"/>
      <c r="AM398" s="216"/>
      <c r="AN398" s="216"/>
    </row>
    <row r="399">
      <c r="B399" s="267"/>
      <c r="C399" s="266"/>
      <c r="D399" s="266"/>
      <c r="E399" s="266"/>
      <c r="F399" s="266"/>
      <c r="G399" s="266"/>
      <c r="H399" s="266"/>
      <c r="I399" s="266"/>
      <c r="J399" s="266"/>
      <c r="K399" s="266"/>
      <c r="L399" s="266"/>
      <c r="M399" s="266"/>
      <c r="N399" s="266"/>
      <c r="O399" s="266"/>
      <c r="P399" s="266"/>
      <c r="Q399" s="266"/>
      <c r="R399" s="266"/>
      <c r="S399" s="216"/>
      <c r="T399" s="216"/>
      <c r="U399" s="217"/>
      <c r="V399" s="216"/>
      <c r="W399" s="216"/>
      <c r="X399" s="216"/>
      <c r="Y399" s="216"/>
      <c r="Z399" s="216"/>
      <c r="AA399" s="216"/>
      <c r="AB399" s="216"/>
      <c r="AC399" s="216"/>
      <c r="AD399" s="216"/>
      <c r="AE399" s="216"/>
      <c r="AF399" s="216"/>
      <c r="AG399" s="216"/>
      <c r="AH399" s="216"/>
      <c r="AI399" s="216"/>
      <c r="AJ399" s="216"/>
      <c r="AK399" s="216"/>
      <c r="AL399" s="216"/>
      <c r="AM399" s="216"/>
      <c r="AN399" s="216"/>
    </row>
    <row r="400">
      <c r="B400" s="267"/>
      <c r="C400" s="266"/>
      <c r="D400" s="266"/>
      <c r="E400" s="266"/>
      <c r="F400" s="266"/>
      <c r="G400" s="266"/>
      <c r="H400" s="266"/>
      <c r="I400" s="266"/>
      <c r="J400" s="266"/>
      <c r="K400" s="266"/>
      <c r="L400" s="266"/>
      <c r="M400" s="266"/>
      <c r="N400" s="266"/>
      <c r="O400" s="266"/>
      <c r="P400" s="266"/>
      <c r="Q400" s="266"/>
      <c r="R400" s="266"/>
      <c r="S400" s="216"/>
      <c r="T400" s="216"/>
      <c r="U400" s="217"/>
      <c r="V400" s="216"/>
      <c r="W400" s="216"/>
      <c r="X400" s="216"/>
      <c r="Y400" s="216"/>
      <c r="Z400" s="216"/>
      <c r="AA400" s="216"/>
      <c r="AB400" s="216"/>
      <c r="AC400" s="216"/>
      <c r="AD400" s="216"/>
      <c r="AE400" s="216"/>
      <c r="AF400" s="216"/>
      <c r="AG400" s="216"/>
      <c r="AH400" s="216"/>
      <c r="AI400" s="216"/>
      <c r="AJ400" s="216"/>
      <c r="AK400" s="216"/>
      <c r="AL400" s="216"/>
      <c r="AM400" s="216"/>
      <c r="AN400" s="216"/>
    </row>
    <row r="401">
      <c r="B401" s="267"/>
      <c r="C401" s="266"/>
      <c r="D401" s="266"/>
      <c r="E401" s="266"/>
      <c r="F401" s="266"/>
      <c r="G401" s="266"/>
      <c r="H401" s="266"/>
      <c r="I401" s="266"/>
      <c r="J401" s="266"/>
      <c r="K401" s="266"/>
      <c r="L401" s="266"/>
      <c r="M401" s="266"/>
      <c r="N401" s="266"/>
      <c r="O401" s="266"/>
      <c r="P401" s="266"/>
      <c r="Q401" s="266"/>
      <c r="R401" s="266"/>
      <c r="S401" s="216"/>
      <c r="T401" s="216"/>
      <c r="U401" s="217"/>
      <c r="V401" s="216"/>
      <c r="W401" s="216"/>
      <c r="X401" s="216"/>
      <c r="Y401" s="216"/>
      <c r="Z401" s="216"/>
      <c r="AA401" s="216"/>
      <c r="AB401" s="216"/>
      <c r="AC401" s="216"/>
      <c r="AD401" s="216"/>
      <c r="AE401" s="216"/>
      <c r="AF401" s="216"/>
      <c r="AG401" s="216"/>
      <c r="AH401" s="216"/>
      <c r="AI401" s="216"/>
      <c r="AJ401" s="216"/>
      <c r="AK401" s="216"/>
      <c r="AL401" s="216"/>
      <c r="AM401" s="216"/>
      <c r="AN401" s="216"/>
    </row>
    <row r="402">
      <c r="B402" s="267"/>
      <c r="C402" s="266"/>
      <c r="D402" s="266"/>
      <c r="E402" s="266"/>
      <c r="F402" s="266"/>
      <c r="G402" s="266"/>
      <c r="H402" s="266"/>
      <c r="I402" s="266"/>
      <c r="J402" s="266"/>
      <c r="K402" s="266"/>
      <c r="L402" s="266"/>
      <c r="M402" s="266"/>
      <c r="N402" s="266"/>
      <c r="O402" s="266"/>
      <c r="P402" s="266"/>
      <c r="Q402" s="266"/>
      <c r="R402" s="266"/>
      <c r="S402" s="216"/>
      <c r="T402" s="216"/>
      <c r="U402" s="217"/>
      <c r="V402" s="216"/>
      <c r="W402" s="216"/>
      <c r="X402" s="216"/>
      <c r="Y402" s="216"/>
      <c r="Z402" s="216"/>
      <c r="AA402" s="216"/>
      <c r="AB402" s="216"/>
      <c r="AC402" s="216"/>
      <c r="AD402" s="216"/>
      <c r="AE402" s="216"/>
      <c r="AF402" s="216"/>
      <c r="AG402" s="216"/>
      <c r="AH402" s="216"/>
      <c r="AI402" s="216"/>
      <c r="AJ402" s="216"/>
      <c r="AK402" s="216"/>
      <c r="AL402" s="216"/>
      <c r="AM402" s="216"/>
      <c r="AN402" s="216"/>
    </row>
    <row r="403">
      <c r="B403" s="267"/>
      <c r="C403" s="266"/>
      <c r="D403" s="266"/>
      <c r="E403" s="266"/>
      <c r="F403" s="266"/>
      <c r="G403" s="266"/>
      <c r="H403" s="266"/>
      <c r="I403" s="266"/>
      <c r="J403" s="266"/>
      <c r="K403" s="266"/>
      <c r="L403" s="266"/>
      <c r="M403" s="266"/>
      <c r="N403" s="266"/>
      <c r="O403" s="266"/>
      <c r="P403" s="266"/>
      <c r="Q403" s="266"/>
      <c r="R403" s="266"/>
      <c r="S403" s="216"/>
      <c r="T403" s="216"/>
      <c r="U403" s="217"/>
      <c r="V403" s="216"/>
      <c r="W403" s="216"/>
      <c r="X403" s="216"/>
      <c r="Y403" s="216"/>
      <c r="Z403" s="216"/>
      <c r="AA403" s="216"/>
      <c r="AB403" s="216"/>
      <c r="AC403" s="216"/>
      <c r="AD403" s="216"/>
      <c r="AE403" s="216"/>
      <c r="AF403" s="216"/>
      <c r="AG403" s="216"/>
      <c r="AH403" s="216"/>
      <c r="AI403" s="216"/>
      <c r="AJ403" s="216"/>
      <c r="AK403" s="216"/>
      <c r="AL403" s="216"/>
      <c r="AM403" s="216"/>
      <c r="AN403" s="216"/>
    </row>
    <row r="404">
      <c r="B404" s="267"/>
      <c r="C404" s="266"/>
      <c r="D404" s="266"/>
      <c r="E404" s="266"/>
      <c r="F404" s="266"/>
      <c r="G404" s="266"/>
      <c r="H404" s="266"/>
      <c r="I404" s="266"/>
      <c r="J404" s="266"/>
      <c r="K404" s="266"/>
      <c r="L404" s="266"/>
      <c r="M404" s="266"/>
      <c r="N404" s="266"/>
      <c r="O404" s="266"/>
      <c r="P404" s="266"/>
      <c r="Q404" s="266"/>
      <c r="R404" s="266"/>
      <c r="S404" s="216"/>
      <c r="T404" s="216"/>
      <c r="U404" s="217"/>
      <c r="V404" s="216"/>
      <c r="W404" s="216"/>
      <c r="X404" s="216"/>
      <c r="Y404" s="216"/>
      <c r="Z404" s="216"/>
      <c r="AA404" s="216"/>
      <c r="AB404" s="216"/>
      <c r="AC404" s="216"/>
      <c r="AD404" s="216"/>
      <c r="AE404" s="216"/>
      <c r="AF404" s="216"/>
      <c r="AG404" s="216"/>
      <c r="AH404" s="216"/>
      <c r="AI404" s="216"/>
      <c r="AJ404" s="216"/>
      <c r="AK404" s="216"/>
      <c r="AL404" s="216"/>
      <c r="AM404" s="216"/>
      <c r="AN404" s="216"/>
    </row>
    <row r="405">
      <c r="B405" s="267"/>
      <c r="C405" s="266"/>
      <c r="D405" s="266"/>
      <c r="E405" s="266"/>
      <c r="F405" s="266"/>
      <c r="G405" s="266"/>
      <c r="H405" s="266"/>
      <c r="I405" s="266"/>
      <c r="J405" s="266"/>
      <c r="K405" s="266"/>
      <c r="L405" s="266"/>
      <c r="M405" s="266"/>
      <c r="N405" s="266"/>
      <c r="O405" s="266"/>
      <c r="P405" s="266"/>
      <c r="Q405" s="266"/>
      <c r="R405" s="266"/>
      <c r="S405" s="216"/>
      <c r="T405" s="216"/>
      <c r="U405" s="217"/>
      <c r="V405" s="216"/>
      <c r="W405" s="216"/>
      <c r="X405" s="216"/>
      <c r="Y405" s="216"/>
      <c r="Z405" s="216"/>
      <c r="AA405" s="216"/>
      <c r="AB405" s="216"/>
      <c r="AC405" s="216"/>
      <c r="AD405" s="216"/>
      <c r="AE405" s="216"/>
      <c r="AF405" s="216"/>
      <c r="AG405" s="216"/>
      <c r="AH405" s="216"/>
      <c r="AI405" s="216"/>
      <c r="AJ405" s="216"/>
      <c r="AK405" s="216"/>
      <c r="AL405" s="216"/>
      <c r="AM405" s="216"/>
      <c r="AN405" s="216"/>
    </row>
    <row r="406">
      <c r="B406" s="267"/>
      <c r="C406" s="266"/>
      <c r="D406" s="266"/>
      <c r="E406" s="266"/>
      <c r="F406" s="266"/>
      <c r="G406" s="266"/>
      <c r="H406" s="266"/>
      <c r="I406" s="266"/>
      <c r="J406" s="266"/>
      <c r="K406" s="266"/>
      <c r="L406" s="266"/>
      <c r="M406" s="266"/>
      <c r="N406" s="266"/>
      <c r="O406" s="266"/>
      <c r="P406" s="266"/>
      <c r="Q406" s="266"/>
      <c r="R406" s="266"/>
      <c r="S406" s="216"/>
      <c r="T406" s="216"/>
      <c r="U406" s="217"/>
      <c r="V406" s="216"/>
      <c r="W406" s="216"/>
      <c r="X406" s="216"/>
      <c r="Y406" s="216"/>
      <c r="Z406" s="216"/>
      <c r="AA406" s="216"/>
      <c r="AB406" s="216"/>
      <c r="AC406" s="216"/>
      <c r="AD406" s="216"/>
      <c r="AE406" s="216"/>
      <c r="AF406" s="216"/>
      <c r="AG406" s="216"/>
      <c r="AH406" s="216"/>
      <c r="AI406" s="216"/>
      <c r="AJ406" s="216"/>
      <c r="AK406" s="216"/>
      <c r="AL406" s="216"/>
      <c r="AM406" s="216"/>
      <c r="AN406" s="216"/>
    </row>
    <row r="407">
      <c r="B407" s="267"/>
      <c r="C407" s="266"/>
      <c r="D407" s="266"/>
      <c r="E407" s="266"/>
      <c r="F407" s="266"/>
      <c r="G407" s="266"/>
      <c r="H407" s="266"/>
      <c r="I407" s="266"/>
      <c r="J407" s="266"/>
      <c r="K407" s="266"/>
      <c r="L407" s="266"/>
      <c r="M407" s="266"/>
      <c r="N407" s="266"/>
      <c r="O407" s="266"/>
      <c r="P407" s="266"/>
      <c r="Q407" s="266"/>
      <c r="R407" s="266"/>
      <c r="S407" s="216"/>
      <c r="T407" s="216"/>
      <c r="U407" s="217"/>
      <c r="V407" s="216"/>
      <c r="W407" s="216"/>
      <c r="X407" s="216"/>
      <c r="Y407" s="216"/>
      <c r="Z407" s="216"/>
      <c r="AA407" s="216"/>
      <c r="AB407" s="216"/>
      <c r="AC407" s="216"/>
      <c r="AD407" s="216"/>
      <c r="AE407" s="216"/>
      <c r="AF407" s="216"/>
      <c r="AG407" s="216"/>
      <c r="AH407" s="216"/>
      <c r="AI407" s="216"/>
      <c r="AJ407" s="216"/>
      <c r="AK407" s="216"/>
      <c r="AL407" s="216"/>
      <c r="AM407" s="216"/>
      <c r="AN407" s="216"/>
    </row>
    <row r="408">
      <c r="B408" s="267"/>
      <c r="C408" s="266"/>
      <c r="D408" s="266"/>
      <c r="E408" s="266"/>
      <c r="F408" s="266"/>
      <c r="G408" s="266"/>
      <c r="H408" s="266"/>
      <c r="I408" s="266"/>
      <c r="J408" s="266"/>
      <c r="K408" s="266"/>
      <c r="L408" s="266"/>
      <c r="M408" s="266"/>
      <c r="N408" s="266"/>
      <c r="O408" s="266"/>
      <c r="P408" s="266"/>
      <c r="Q408" s="266"/>
      <c r="R408" s="266"/>
      <c r="S408" s="216"/>
      <c r="T408" s="216"/>
      <c r="U408" s="217"/>
      <c r="V408" s="216"/>
      <c r="W408" s="216"/>
      <c r="X408" s="216"/>
      <c r="Y408" s="216"/>
      <c r="Z408" s="216"/>
      <c r="AA408" s="216"/>
      <c r="AB408" s="216"/>
      <c r="AC408" s="216"/>
      <c r="AD408" s="216"/>
      <c r="AE408" s="216"/>
      <c r="AF408" s="216"/>
      <c r="AG408" s="216"/>
      <c r="AH408" s="216"/>
      <c r="AI408" s="216"/>
      <c r="AJ408" s="216"/>
      <c r="AK408" s="216"/>
      <c r="AL408" s="216"/>
      <c r="AM408" s="216"/>
      <c r="AN408" s="216"/>
    </row>
    <row r="409">
      <c r="B409" s="267"/>
      <c r="C409" s="266"/>
      <c r="D409" s="266"/>
      <c r="E409" s="266"/>
      <c r="F409" s="266"/>
      <c r="G409" s="266"/>
      <c r="H409" s="266"/>
      <c r="I409" s="266"/>
      <c r="J409" s="266"/>
      <c r="K409" s="266"/>
      <c r="L409" s="266"/>
      <c r="M409" s="266"/>
      <c r="N409" s="266"/>
      <c r="O409" s="266"/>
      <c r="P409" s="266"/>
      <c r="Q409" s="266"/>
      <c r="R409" s="266"/>
      <c r="S409" s="216"/>
      <c r="T409" s="216"/>
      <c r="U409" s="217"/>
      <c r="V409" s="216"/>
      <c r="W409" s="216"/>
      <c r="X409" s="216"/>
      <c r="Y409" s="216"/>
      <c r="Z409" s="216"/>
      <c r="AA409" s="216"/>
      <c r="AB409" s="216"/>
      <c r="AC409" s="216"/>
      <c r="AD409" s="216"/>
      <c r="AE409" s="216"/>
      <c r="AF409" s="216"/>
      <c r="AG409" s="216"/>
      <c r="AH409" s="216"/>
      <c r="AI409" s="216"/>
      <c r="AJ409" s="216"/>
      <c r="AK409" s="216"/>
      <c r="AL409" s="216"/>
      <c r="AM409" s="216"/>
      <c r="AN409" s="216"/>
    </row>
    <row r="410">
      <c r="B410" s="267"/>
      <c r="C410" s="266"/>
      <c r="D410" s="266"/>
      <c r="E410" s="266"/>
      <c r="F410" s="266"/>
      <c r="G410" s="266"/>
      <c r="H410" s="266"/>
      <c r="I410" s="266"/>
      <c r="J410" s="266"/>
      <c r="K410" s="266"/>
      <c r="L410" s="266"/>
      <c r="M410" s="266"/>
      <c r="N410" s="266"/>
      <c r="O410" s="266"/>
      <c r="P410" s="266"/>
      <c r="Q410" s="266"/>
      <c r="R410" s="266"/>
      <c r="S410" s="216"/>
      <c r="T410" s="216"/>
      <c r="U410" s="217"/>
      <c r="V410" s="216"/>
      <c r="W410" s="216"/>
      <c r="X410" s="216"/>
      <c r="Y410" s="216"/>
      <c r="Z410" s="216"/>
      <c r="AA410" s="216"/>
      <c r="AB410" s="216"/>
      <c r="AC410" s="216"/>
      <c r="AD410" s="216"/>
      <c r="AE410" s="216"/>
      <c r="AF410" s="216"/>
      <c r="AG410" s="216"/>
      <c r="AH410" s="216"/>
      <c r="AI410" s="216"/>
      <c r="AJ410" s="216"/>
      <c r="AK410" s="216"/>
      <c r="AL410" s="216"/>
      <c r="AM410" s="216"/>
      <c r="AN410" s="216"/>
    </row>
    <row r="411">
      <c r="B411" s="267"/>
      <c r="C411" s="266"/>
      <c r="D411" s="266"/>
      <c r="E411" s="266"/>
      <c r="F411" s="266"/>
      <c r="G411" s="266"/>
      <c r="H411" s="266"/>
      <c r="I411" s="266"/>
      <c r="J411" s="266"/>
      <c r="K411" s="266"/>
      <c r="L411" s="266"/>
      <c r="M411" s="266"/>
      <c r="N411" s="266"/>
      <c r="O411" s="266"/>
      <c r="P411" s="266"/>
      <c r="Q411" s="266"/>
      <c r="R411" s="266"/>
      <c r="S411" s="216"/>
      <c r="T411" s="216"/>
      <c r="U411" s="217"/>
      <c r="V411" s="216"/>
      <c r="W411" s="216"/>
      <c r="X411" s="216"/>
      <c r="Y411" s="216"/>
      <c r="Z411" s="216"/>
      <c r="AA411" s="216"/>
      <c r="AB411" s="216"/>
      <c r="AC411" s="216"/>
      <c r="AD411" s="216"/>
      <c r="AE411" s="216"/>
      <c r="AF411" s="216"/>
      <c r="AG411" s="216"/>
      <c r="AH411" s="216"/>
      <c r="AI411" s="216"/>
      <c r="AJ411" s="216"/>
      <c r="AK411" s="216"/>
      <c r="AL411" s="216"/>
      <c r="AM411" s="216"/>
      <c r="AN411" s="216"/>
    </row>
    <row r="412">
      <c r="B412" s="267"/>
      <c r="C412" s="266"/>
      <c r="D412" s="266"/>
      <c r="E412" s="266"/>
      <c r="F412" s="266"/>
      <c r="G412" s="266"/>
      <c r="H412" s="266"/>
      <c r="I412" s="266"/>
      <c r="J412" s="266"/>
      <c r="K412" s="266"/>
      <c r="L412" s="266"/>
      <c r="M412" s="266"/>
      <c r="N412" s="266"/>
      <c r="O412" s="266"/>
      <c r="P412" s="266"/>
      <c r="Q412" s="266"/>
      <c r="R412" s="266"/>
      <c r="S412" s="216"/>
      <c r="T412" s="216"/>
      <c r="U412" s="217"/>
      <c r="V412" s="216"/>
      <c r="W412" s="216"/>
      <c r="X412" s="216"/>
      <c r="Y412" s="216"/>
      <c r="Z412" s="216"/>
      <c r="AA412" s="216"/>
      <c r="AB412" s="216"/>
      <c r="AC412" s="216"/>
      <c r="AD412" s="216"/>
      <c r="AE412" s="216"/>
      <c r="AF412" s="216"/>
      <c r="AG412" s="216"/>
      <c r="AH412" s="216"/>
      <c r="AI412" s="216"/>
      <c r="AJ412" s="216"/>
      <c r="AK412" s="216"/>
      <c r="AL412" s="216"/>
      <c r="AM412" s="216"/>
      <c r="AN412" s="216"/>
    </row>
    <row r="413">
      <c r="B413" s="267"/>
      <c r="C413" s="266"/>
      <c r="D413" s="266"/>
      <c r="E413" s="266"/>
      <c r="F413" s="266"/>
      <c r="G413" s="266"/>
      <c r="H413" s="266"/>
      <c r="I413" s="266"/>
      <c r="J413" s="266"/>
      <c r="K413" s="266"/>
      <c r="L413" s="266"/>
      <c r="M413" s="266"/>
      <c r="N413" s="266"/>
      <c r="O413" s="266"/>
      <c r="P413" s="266"/>
      <c r="Q413" s="266"/>
      <c r="R413" s="266"/>
      <c r="S413" s="216"/>
      <c r="T413" s="216"/>
      <c r="U413" s="217"/>
      <c r="V413" s="216"/>
      <c r="W413" s="216"/>
      <c r="X413" s="216"/>
      <c r="Y413" s="216"/>
      <c r="Z413" s="216"/>
      <c r="AA413" s="216"/>
      <c r="AB413" s="216"/>
      <c r="AC413" s="216"/>
      <c r="AD413" s="216"/>
      <c r="AE413" s="216"/>
      <c r="AF413" s="216"/>
      <c r="AG413" s="216"/>
      <c r="AH413" s="216"/>
      <c r="AI413" s="216"/>
      <c r="AJ413" s="216"/>
      <c r="AK413" s="216"/>
      <c r="AL413" s="216"/>
      <c r="AM413" s="216"/>
      <c r="AN413" s="216"/>
    </row>
    <row r="414">
      <c r="B414" s="267"/>
      <c r="C414" s="266"/>
      <c r="D414" s="266"/>
      <c r="E414" s="266"/>
      <c r="F414" s="266"/>
      <c r="G414" s="266"/>
      <c r="H414" s="266"/>
      <c r="I414" s="266"/>
      <c r="J414" s="266"/>
      <c r="K414" s="266"/>
      <c r="L414" s="266"/>
      <c r="M414" s="266"/>
      <c r="N414" s="266"/>
      <c r="O414" s="266"/>
      <c r="P414" s="266"/>
      <c r="Q414" s="266"/>
      <c r="R414" s="266"/>
      <c r="S414" s="216"/>
      <c r="T414" s="216"/>
      <c r="U414" s="217"/>
      <c r="V414" s="216"/>
      <c r="W414" s="216"/>
      <c r="X414" s="216"/>
      <c r="Y414" s="216"/>
      <c r="Z414" s="216"/>
      <c r="AA414" s="216"/>
      <c r="AB414" s="216"/>
      <c r="AC414" s="216"/>
      <c r="AD414" s="216"/>
      <c r="AE414" s="216"/>
      <c r="AF414" s="216"/>
      <c r="AG414" s="216"/>
      <c r="AH414" s="216"/>
      <c r="AI414" s="216"/>
      <c r="AJ414" s="216"/>
      <c r="AK414" s="216"/>
      <c r="AL414" s="216"/>
      <c r="AM414" s="216"/>
      <c r="AN414" s="216"/>
    </row>
    <row r="415">
      <c r="B415" s="267"/>
      <c r="C415" s="266"/>
      <c r="D415" s="266"/>
      <c r="E415" s="266"/>
      <c r="F415" s="266"/>
      <c r="G415" s="266"/>
      <c r="H415" s="266"/>
      <c r="I415" s="266"/>
      <c r="J415" s="266"/>
      <c r="K415" s="266"/>
      <c r="L415" s="266"/>
      <c r="M415" s="266"/>
      <c r="N415" s="266"/>
      <c r="O415" s="266"/>
      <c r="P415" s="266"/>
      <c r="Q415" s="266"/>
      <c r="R415" s="266"/>
      <c r="S415" s="216"/>
      <c r="T415" s="216"/>
      <c r="U415" s="217"/>
      <c r="V415" s="216"/>
      <c r="W415" s="216"/>
      <c r="X415" s="216"/>
      <c r="Y415" s="216"/>
      <c r="Z415" s="216"/>
      <c r="AA415" s="216"/>
      <c r="AB415" s="216"/>
      <c r="AC415" s="216"/>
      <c r="AD415" s="216"/>
      <c r="AE415" s="216"/>
      <c r="AF415" s="216"/>
      <c r="AG415" s="216"/>
      <c r="AH415" s="216"/>
      <c r="AI415" s="216"/>
      <c r="AJ415" s="216"/>
      <c r="AK415" s="216"/>
      <c r="AL415" s="216"/>
      <c r="AM415" s="216"/>
      <c r="AN415" s="216"/>
    </row>
    <row r="416">
      <c r="B416" s="267"/>
      <c r="C416" s="266"/>
      <c r="D416" s="266"/>
      <c r="E416" s="266"/>
      <c r="F416" s="266"/>
      <c r="G416" s="266"/>
      <c r="H416" s="266"/>
      <c r="I416" s="266"/>
      <c r="J416" s="266"/>
      <c r="K416" s="266"/>
      <c r="L416" s="266"/>
      <c r="M416" s="266"/>
      <c r="N416" s="266"/>
      <c r="O416" s="266"/>
      <c r="P416" s="266"/>
      <c r="Q416" s="266"/>
      <c r="R416" s="266"/>
      <c r="S416" s="216"/>
      <c r="T416" s="216"/>
      <c r="U416" s="217"/>
      <c r="V416" s="216"/>
      <c r="W416" s="216"/>
      <c r="X416" s="216"/>
      <c r="Y416" s="216"/>
      <c r="Z416" s="216"/>
      <c r="AA416" s="216"/>
      <c r="AB416" s="216"/>
      <c r="AC416" s="216"/>
      <c r="AD416" s="216"/>
      <c r="AE416" s="216"/>
      <c r="AF416" s="216"/>
      <c r="AG416" s="216"/>
      <c r="AH416" s="216"/>
      <c r="AI416" s="216"/>
      <c r="AJ416" s="216"/>
      <c r="AK416" s="216"/>
      <c r="AL416" s="216"/>
      <c r="AM416" s="216"/>
      <c r="AN416" s="216"/>
    </row>
    <row r="417">
      <c r="B417" s="267"/>
      <c r="C417" s="266"/>
      <c r="D417" s="266"/>
      <c r="E417" s="266"/>
      <c r="F417" s="266"/>
      <c r="G417" s="266"/>
      <c r="H417" s="266"/>
      <c r="I417" s="266"/>
      <c r="J417" s="266"/>
      <c r="K417" s="266"/>
      <c r="L417" s="266"/>
      <c r="M417" s="266"/>
      <c r="N417" s="266"/>
      <c r="O417" s="266"/>
      <c r="P417" s="266"/>
      <c r="Q417" s="266"/>
      <c r="R417" s="266"/>
      <c r="S417" s="216"/>
      <c r="T417" s="216"/>
      <c r="U417" s="217"/>
      <c r="V417" s="216"/>
      <c r="W417" s="216"/>
      <c r="X417" s="216"/>
      <c r="Y417" s="216"/>
      <c r="Z417" s="216"/>
      <c r="AA417" s="216"/>
      <c r="AB417" s="216"/>
      <c r="AC417" s="216"/>
      <c r="AD417" s="216"/>
      <c r="AE417" s="216"/>
      <c r="AF417" s="216"/>
      <c r="AG417" s="216"/>
      <c r="AH417" s="216"/>
      <c r="AI417" s="216"/>
      <c r="AJ417" s="216"/>
      <c r="AK417" s="216"/>
      <c r="AL417" s="216"/>
      <c r="AM417" s="216"/>
      <c r="AN417" s="216"/>
    </row>
    <row r="418">
      <c r="B418" s="267"/>
      <c r="C418" s="266"/>
      <c r="D418" s="266"/>
      <c r="E418" s="266"/>
      <c r="F418" s="266"/>
      <c r="G418" s="266"/>
      <c r="H418" s="266"/>
      <c r="I418" s="266"/>
      <c r="J418" s="266"/>
      <c r="K418" s="266"/>
      <c r="L418" s="266"/>
      <c r="M418" s="266"/>
      <c r="N418" s="266"/>
      <c r="O418" s="266"/>
      <c r="P418" s="266"/>
      <c r="Q418" s="266"/>
      <c r="R418" s="266"/>
      <c r="S418" s="216"/>
      <c r="T418" s="216"/>
      <c r="U418" s="217"/>
      <c r="V418" s="216"/>
      <c r="W418" s="216"/>
      <c r="X418" s="216"/>
      <c r="Y418" s="216"/>
      <c r="Z418" s="216"/>
      <c r="AA418" s="216"/>
      <c r="AB418" s="216"/>
      <c r="AC418" s="216"/>
      <c r="AD418" s="216"/>
      <c r="AE418" s="216"/>
      <c r="AF418" s="216"/>
      <c r="AG418" s="216"/>
      <c r="AH418" s="216"/>
      <c r="AI418" s="216"/>
      <c r="AJ418" s="216"/>
      <c r="AK418" s="216"/>
      <c r="AL418" s="216"/>
      <c r="AM418" s="216"/>
      <c r="AN418" s="216"/>
    </row>
    <row r="419">
      <c r="B419" s="267"/>
      <c r="C419" s="266"/>
      <c r="D419" s="266"/>
      <c r="E419" s="266"/>
      <c r="F419" s="266"/>
      <c r="G419" s="266"/>
      <c r="H419" s="266"/>
      <c r="I419" s="266"/>
      <c r="J419" s="266"/>
      <c r="K419" s="266"/>
      <c r="L419" s="266"/>
      <c r="M419" s="266"/>
      <c r="N419" s="266"/>
      <c r="O419" s="266"/>
      <c r="P419" s="266"/>
      <c r="Q419" s="266"/>
      <c r="R419" s="266"/>
      <c r="S419" s="216"/>
      <c r="T419" s="216"/>
      <c r="U419" s="217"/>
      <c r="V419" s="216"/>
      <c r="W419" s="216"/>
      <c r="X419" s="216"/>
      <c r="Y419" s="216"/>
      <c r="Z419" s="216"/>
      <c r="AA419" s="216"/>
      <c r="AB419" s="216"/>
      <c r="AC419" s="216"/>
      <c r="AD419" s="216"/>
      <c r="AE419" s="216"/>
      <c r="AF419" s="216"/>
      <c r="AG419" s="216"/>
      <c r="AH419" s="216"/>
      <c r="AI419" s="216"/>
      <c r="AJ419" s="216"/>
      <c r="AK419" s="216"/>
      <c r="AL419" s="216"/>
      <c r="AM419" s="216"/>
      <c r="AN419" s="216"/>
    </row>
    <row r="420">
      <c r="B420" s="267"/>
      <c r="C420" s="266"/>
      <c r="D420" s="266"/>
      <c r="E420" s="266"/>
      <c r="F420" s="266"/>
      <c r="G420" s="266"/>
      <c r="H420" s="266"/>
      <c r="I420" s="266"/>
      <c r="J420" s="266"/>
      <c r="K420" s="266"/>
      <c r="L420" s="266"/>
      <c r="M420" s="266"/>
      <c r="N420" s="266"/>
      <c r="O420" s="266"/>
      <c r="P420" s="266"/>
      <c r="Q420" s="266"/>
      <c r="R420" s="266"/>
      <c r="S420" s="216"/>
      <c r="T420" s="216"/>
      <c r="U420" s="217"/>
      <c r="V420" s="216"/>
      <c r="W420" s="216"/>
      <c r="X420" s="216"/>
      <c r="Y420" s="216"/>
      <c r="Z420" s="216"/>
      <c r="AA420" s="216"/>
      <c r="AB420" s="216"/>
      <c r="AC420" s="216"/>
      <c r="AD420" s="216"/>
      <c r="AE420" s="216"/>
      <c r="AF420" s="216"/>
      <c r="AG420" s="216"/>
      <c r="AH420" s="216"/>
      <c r="AI420" s="216"/>
      <c r="AJ420" s="216"/>
      <c r="AK420" s="216"/>
      <c r="AL420" s="216"/>
      <c r="AM420" s="216"/>
      <c r="AN420" s="216"/>
    </row>
    <row r="421">
      <c r="B421" s="267"/>
      <c r="C421" s="266"/>
      <c r="D421" s="266"/>
      <c r="E421" s="266"/>
      <c r="F421" s="266"/>
      <c r="G421" s="266"/>
      <c r="H421" s="266"/>
      <c r="I421" s="266"/>
      <c r="J421" s="266"/>
      <c r="K421" s="266"/>
      <c r="L421" s="266"/>
      <c r="M421" s="266"/>
      <c r="N421" s="266"/>
      <c r="O421" s="266"/>
      <c r="P421" s="266"/>
      <c r="Q421" s="266"/>
      <c r="R421" s="266"/>
      <c r="S421" s="216"/>
      <c r="T421" s="216"/>
      <c r="U421" s="217"/>
      <c r="V421" s="216"/>
      <c r="W421" s="216"/>
      <c r="X421" s="216"/>
      <c r="Y421" s="216"/>
      <c r="Z421" s="216"/>
      <c r="AA421" s="216"/>
      <c r="AB421" s="216"/>
      <c r="AC421" s="216"/>
      <c r="AD421" s="216"/>
      <c r="AE421" s="216"/>
      <c r="AF421" s="216"/>
      <c r="AG421" s="216"/>
      <c r="AH421" s="216"/>
      <c r="AI421" s="216"/>
      <c r="AJ421" s="216"/>
      <c r="AK421" s="216"/>
      <c r="AL421" s="216"/>
      <c r="AM421" s="216"/>
      <c r="AN421" s="216"/>
    </row>
    <row r="422">
      <c r="B422" s="267"/>
      <c r="C422" s="266"/>
      <c r="D422" s="266"/>
      <c r="E422" s="266"/>
      <c r="F422" s="266"/>
      <c r="G422" s="266"/>
      <c r="H422" s="266"/>
      <c r="I422" s="266"/>
      <c r="J422" s="266"/>
      <c r="K422" s="266"/>
      <c r="L422" s="266"/>
      <c r="M422" s="266"/>
      <c r="N422" s="266"/>
      <c r="O422" s="266"/>
      <c r="P422" s="266"/>
      <c r="Q422" s="266"/>
      <c r="R422" s="266"/>
      <c r="S422" s="216"/>
      <c r="T422" s="216"/>
      <c r="U422" s="217"/>
      <c r="V422" s="216"/>
      <c r="W422" s="216"/>
      <c r="X422" s="216"/>
      <c r="Y422" s="216"/>
      <c r="Z422" s="216"/>
      <c r="AA422" s="216"/>
      <c r="AB422" s="216"/>
      <c r="AC422" s="216"/>
      <c r="AD422" s="216"/>
      <c r="AE422" s="216"/>
      <c r="AF422" s="216"/>
      <c r="AG422" s="216"/>
      <c r="AH422" s="216"/>
      <c r="AI422" s="216"/>
      <c r="AJ422" s="216"/>
      <c r="AK422" s="216"/>
      <c r="AL422" s="216"/>
      <c r="AM422" s="216"/>
      <c r="AN422" s="216"/>
    </row>
    <row r="423">
      <c r="B423" s="267"/>
      <c r="C423" s="266"/>
      <c r="D423" s="266"/>
      <c r="E423" s="266"/>
      <c r="F423" s="266"/>
      <c r="G423" s="266"/>
      <c r="H423" s="266"/>
      <c r="I423" s="266"/>
      <c r="J423" s="266"/>
      <c r="K423" s="266"/>
      <c r="L423" s="266"/>
      <c r="M423" s="266"/>
      <c r="N423" s="266"/>
      <c r="O423" s="266"/>
      <c r="P423" s="266"/>
      <c r="Q423" s="266"/>
      <c r="R423" s="266"/>
      <c r="S423" s="216"/>
      <c r="T423" s="216"/>
      <c r="U423" s="217"/>
      <c r="V423" s="216"/>
      <c r="W423" s="216"/>
      <c r="X423" s="216"/>
      <c r="Y423" s="216"/>
      <c r="Z423" s="216"/>
      <c r="AA423" s="216"/>
      <c r="AB423" s="216"/>
      <c r="AC423" s="216"/>
      <c r="AD423" s="216"/>
      <c r="AE423" s="216"/>
      <c r="AF423" s="216"/>
      <c r="AG423" s="216"/>
      <c r="AH423" s="216"/>
      <c r="AI423" s="216"/>
      <c r="AJ423" s="216"/>
      <c r="AK423" s="216"/>
      <c r="AL423" s="216"/>
      <c r="AM423" s="216"/>
      <c r="AN423" s="216"/>
    </row>
    <row r="424">
      <c r="B424" s="267"/>
      <c r="C424" s="266"/>
      <c r="D424" s="266"/>
      <c r="E424" s="266"/>
      <c r="F424" s="266"/>
      <c r="G424" s="266"/>
      <c r="H424" s="266"/>
      <c r="I424" s="266"/>
      <c r="J424" s="266"/>
      <c r="K424" s="266"/>
      <c r="L424" s="266"/>
      <c r="M424" s="266"/>
      <c r="N424" s="266"/>
      <c r="O424" s="266"/>
      <c r="P424" s="266"/>
      <c r="Q424" s="266"/>
      <c r="R424" s="266"/>
      <c r="S424" s="216"/>
      <c r="T424" s="216"/>
      <c r="U424" s="217"/>
      <c r="V424" s="216"/>
      <c r="W424" s="216"/>
      <c r="X424" s="216"/>
      <c r="Y424" s="216"/>
      <c r="Z424" s="216"/>
      <c r="AA424" s="216"/>
      <c r="AB424" s="216"/>
      <c r="AC424" s="216"/>
      <c r="AD424" s="216"/>
      <c r="AE424" s="216"/>
      <c r="AF424" s="216"/>
      <c r="AG424" s="216"/>
      <c r="AH424" s="216"/>
      <c r="AI424" s="216"/>
      <c r="AJ424" s="216"/>
      <c r="AK424" s="216"/>
      <c r="AL424" s="216"/>
      <c r="AM424" s="216"/>
      <c r="AN424" s="216"/>
    </row>
    <row r="425">
      <c r="B425" s="267"/>
      <c r="C425" s="266"/>
      <c r="D425" s="266"/>
      <c r="E425" s="266"/>
      <c r="F425" s="266"/>
      <c r="G425" s="266"/>
      <c r="H425" s="266"/>
      <c r="I425" s="266"/>
      <c r="J425" s="266"/>
      <c r="K425" s="266"/>
      <c r="L425" s="266"/>
      <c r="M425" s="266"/>
      <c r="N425" s="266"/>
      <c r="O425" s="266"/>
      <c r="P425" s="266"/>
      <c r="Q425" s="266"/>
      <c r="R425" s="266"/>
      <c r="S425" s="216"/>
      <c r="T425" s="216"/>
      <c r="U425" s="217"/>
      <c r="V425" s="216"/>
      <c r="W425" s="216"/>
      <c r="X425" s="216"/>
      <c r="Y425" s="216"/>
      <c r="Z425" s="216"/>
      <c r="AA425" s="216"/>
      <c r="AB425" s="216"/>
      <c r="AC425" s="216"/>
      <c r="AD425" s="216"/>
      <c r="AE425" s="216"/>
      <c r="AF425" s="216"/>
      <c r="AG425" s="216"/>
      <c r="AH425" s="216"/>
      <c r="AI425" s="216"/>
      <c r="AJ425" s="216"/>
      <c r="AK425" s="216"/>
      <c r="AL425" s="216"/>
      <c r="AM425" s="216"/>
      <c r="AN425" s="216"/>
    </row>
    <row r="426">
      <c r="B426" s="267"/>
      <c r="C426" s="266"/>
      <c r="D426" s="266"/>
      <c r="E426" s="266"/>
      <c r="F426" s="266"/>
      <c r="G426" s="266"/>
      <c r="H426" s="266"/>
      <c r="I426" s="266"/>
      <c r="J426" s="266"/>
      <c r="K426" s="266"/>
      <c r="L426" s="266"/>
      <c r="M426" s="266"/>
      <c r="N426" s="266"/>
      <c r="O426" s="266"/>
      <c r="P426" s="266"/>
      <c r="Q426" s="266"/>
      <c r="R426" s="266"/>
      <c r="S426" s="216"/>
      <c r="T426" s="216"/>
      <c r="U426" s="217"/>
      <c r="V426" s="216"/>
      <c r="W426" s="216"/>
      <c r="X426" s="216"/>
      <c r="Y426" s="216"/>
      <c r="Z426" s="216"/>
      <c r="AA426" s="216"/>
      <c r="AB426" s="216"/>
      <c r="AC426" s="216"/>
      <c r="AD426" s="216"/>
      <c r="AE426" s="216"/>
      <c r="AF426" s="216"/>
      <c r="AG426" s="216"/>
      <c r="AH426" s="216"/>
      <c r="AI426" s="216"/>
      <c r="AJ426" s="216"/>
      <c r="AK426" s="216"/>
      <c r="AL426" s="216"/>
      <c r="AM426" s="216"/>
      <c r="AN426" s="216"/>
    </row>
    <row r="427">
      <c r="B427" s="267"/>
      <c r="C427" s="266"/>
      <c r="D427" s="266"/>
      <c r="E427" s="266"/>
      <c r="F427" s="266"/>
      <c r="G427" s="266"/>
      <c r="H427" s="266"/>
      <c r="I427" s="266"/>
      <c r="J427" s="266"/>
      <c r="K427" s="266"/>
      <c r="L427" s="266"/>
      <c r="M427" s="266"/>
      <c r="N427" s="266"/>
      <c r="O427" s="266"/>
      <c r="P427" s="266"/>
      <c r="Q427" s="266"/>
      <c r="R427" s="266"/>
      <c r="S427" s="216"/>
      <c r="T427" s="216"/>
      <c r="U427" s="217"/>
      <c r="V427" s="216"/>
      <c r="W427" s="216"/>
      <c r="X427" s="216"/>
      <c r="Y427" s="216"/>
      <c r="Z427" s="216"/>
      <c r="AA427" s="216"/>
      <c r="AB427" s="216"/>
      <c r="AC427" s="216"/>
      <c r="AD427" s="216"/>
      <c r="AE427" s="216"/>
      <c r="AF427" s="216"/>
      <c r="AG427" s="216"/>
      <c r="AH427" s="216"/>
      <c r="AI427" s="216"/>
      <c r="AJ427" s="216"/>
      <c r="AK427" s="216"/>
      <c r="AL427" s="216"/>
      <c r="AM427" s="216"/>
      <c r="AN427" s="216"/>
    </row>
    <row r="428">
      <c r="B428" s="267"/>
      <c r="C428" s="266"/>
      <c r="D428" s="266"/>
      <c r="E428" s="266"/>
      <c r="F428" s="266"/>
      <c r="G428" s="266"/>
      <c r="H428" s="266"/>
      <c r="I428" s="266"/>
      <c r="J428" s="266"/>
      <c r="K428" s="266"/>
      <c r="L428" s="266"/>
      <c r="M428" s="266"/>
      <c r="N428" s="266"/>
      <c r="O428" s="266"/>
      <c r="P428" s="266"/>
      <c r="Q428" s="266"/>
      <c r="R428" s="266"/>
      <c r="S428" s="216"/>
      <c r="T428" s="216"/>
      <c r="U428" s="217"/>
      <c r="V428" s="216"/>
      <c r="W428" s="216"/>
      <c r="X428" s="216"/>
      <c r="Y428" s="216"/>
      <c r="Z428" s="216"/>
      <c r="AA428" s="216"/>
      <c r="AB428" s="216"/>
      <c r="AC428" s="216"/>
      <c r="AD428" s="216"/>
      <c r="AE428" s="216"/>
      <c r="AF428" s="216"/>
      <c r="AG428" s="216"/>
      <c r="AH428" s="216"/>
      <c r="AI428" s="216"/>
      <c r="AJ428" s="216"/>
      <c r="AK428" s="216"/>
      <c r="AL428" s="216"/>
      <c r="AM428" s="216"/>
      <c r="AN428" s="216"/>
    </row>
    <row r="429">
      <c r="B429" s="267"/>
      <c r="C429" s="266"/>
      <c r="D429" s="266"/>
      <c r="E429" s="266"/>
      <c r="F429" s="266"/>
      <c r="G429" s="266"/>
      <c r="H429" s="266"/>
      <c r="I429" s="266"/>
      <c r="J429" s="266"/>
      <c r="K429" s="266"/>
      <c r="L429" s="266"/>
      <c r="M429" s="266"/>
      <c r="N429" s="266"/>
      <c r="O429" s="266"/>
      <c r="P429" s="266"/>
      <c r="Q429" s="266"/>
      <c r="R429" s="266"/>
      <c r="S429" s="216"/>
      <c r="T429" s="216"/>
      <c r="U429" s="217"/>
      <c r="V429" s="216"/>
      <c r="W429" s="216"/>
      <c r="X429" s="216"/>
      <c r="Y429" s="216"/>
      <c r="Z429" s="216"/>
      <c r="AA429" s="216"/>
      <c r="AB429" s="216"/>
      <c r="AC429" s="216"/>
      <c r="AD429" s="216"/>
      <c r="AE429" s="216"/>
      <c r="AF429" s="216"/>
      <c r="AG429" s="216"/>
      <c r="AH429" s="216"/>
      <c r="AI429" s="216"/>
      <c r="AJ429" s="216"/>
      <c r="AK429" s="216"/>
      <c r="AL429" s="216"/>
      <c r="AM429" s="216"/>
      <c r="AN429" s="216"/>
    </row>
    <row r="430">
      <c r="B430" s="267"/>
      <c r="C430" s="266"/>
      <c r="D430" s="266"/>
      <c r="E430" s="266"/>
      <c r="F430" s="266"/>
      <c r="G430" s="266"/>
      <c r="H430" s="266"/>
      <c r="I430" s="266"/>
      <c r="J430" s="266"/>
      <c r="K430" s="266"/>
      <c r="L430" s="266"/>
      <c r="M430" s="266"/>
      <c r="N430" s="266"/>
      <c r="O430" s="266"/>
      <c r="P430" s="266"/>
      <c r="Q430" s="266"/>
      <c r="R430" s="266"/>
      <c r="S430" s="216"/>
      <c r="T430" s="216"/>
      <c r="U430" s="217"/>
      <c r="V430" s="216"/>
      <c r="W430" s="216"/>
      <c r="X430" s="216"/>
      <c r="Y430" s="216"/>
      <c r="Z430" s="216"/>
      <c r="AA430" s="216"/>
      <c r="AB430" s="216"/>
      <c r="AC430" s="216"/>
      <c r="AD430" s="216"/>
      <c r="AE430" s="216"/>
      <c r="AF430" s="216"/>
      <c r="AG430" s="216"/>
      <c r="AH430" s="216"/>
      <c r="AI430" s="216"/>
      <c r="AJ430" s="216"/>
      <c r="AK430" s="216"/>
      <c r="AL430" s="216"/>
      <c r="AM430" s="216"/>
      <c r="AN430" s="216"/>
    </row>
    <row r="431">
      <c r="B431" s="267"/>
      <c r="C431" s="266"/>
      <c r="D431" s="266"/>
      <c r="E431" s="266"/>
      <c r="F431" s="266"/>
      <c r="G431" s="266"/>
      <c r="H431" s="266"/>
      <c r="I431" s="266"/>
      <c r="J431" s="266"/>
      <c r="K431" s="266"/>
      <c r="L431" s="266"/>
      <c r="M431" s="266"/>
      <c r="N431" s="266"/>
      <c r="O431" s="266"/>
      <c r="P431" s="266"/>
      <c r="Q431" s="266"/>
      <c r="R431" s="266"/>
      <c r="S431" s="216"/>
      <c r="T431" s="216"/>
      <c r="U431" s="217"/>
      <c r="V431" s="216"/>
      <c r="W431" s="216"/>
      <c r="X431" s="216"/>
      <c r="Y431" s="216"/>
      <c r="Z431" s="216"/>
      <c r="AA431" s="216"/>
      <c r="AB431" s="216"/>
      <c r="AC431" s="216"/>
      <c r="AD431" s="216"/>
      <c r="AE431" s="216"/>
      <c r="AF431" s="216"/>
      <c r="AG431" s="216"/>
      <c r="AH431" s="216"/>
      <c r="AI431" s="216"/>
      <c r="AJ431" s="216"/>
      <c r="AK431" s="216"/>
      <c r="AL431" s="216"/>
      <c r="AM431" s="216"/>
      <c r="AN431" s="216"/>
    </row>
    <row r="432">
      <c r="B432" s="267"/>
      <c r="C432" s="266"/>
      <c r="D432" s="266"/>
      <c r="E432" s="266"/>
      <c r="F432" s="266"/>
      <c r="G432" s="266"/>
      <c r="H432" s="266"/>
      <c r="I432" s="266"/>
      <c r="J432" s="266"/>
      <c r="K432" s="266"/>
      <c r="L432" s="266"/>
      <c r="M432" s="266"/>
      <c r="N432" s="266"/>
      <c r="O432" s="266"/>
      <c r="P432" s="266"/>
      <c r="Q432" s="266"/>
      <c r="R432" s="266"/>
      <c r="S432" s="216"/>
      <c r="T432" s="216"/>
      <c r="U432" s="217"/>
      <c r="V432" s="216"/>
      <c r="W432" s="216"/>
      <c r="X432" s="216"/>
      <c r="Y432" s="216"/>
      <c r="Z432" s="216"/>
      <c r="AA432" s="216"/>
      <c r="AB432" s="216"/>
      <c r="AC432" s="216"/>
      <c r="AD432" s="216"/>
      <c r="AE432" s="216"/>
      <c r="AF432" s="216"/>
      <c r="AG432" s="216"/>
      <c r="AH432" s="216"/>
      <c r="AI432" s="216"/>
      <c r="AJ432" s="216"/>
      <c r="AK432" s="216"/>
      <c r="AL432" s="216"/>
      <c r="AM432" s="216"/>
      <c r="AN432" s="216"/>
    </row>
    <row r="433">
      <c r="B433" s="267"/>
      <c r="C433" s="266"/>
      <c r="D433" s="266"/>
      <c r="E433" s="266"/>
      <c r="F433" s="266"/>
      <c r="G433" s="266"/>
      <c r="H433" s="266"/>
      <c r="I433" s="266"/>
      <c r="J433" s="266"/>
      <c r="K433" s="266"/>
      <c r="L433" s="266"/>
      <c r="M433" s="266"/>
      <c r="N433" s="266"/>
      <c r="O433" s="266"/>
      <c r="P433" s="266"/>
      <c r="Q433" s="266"/>
      <c r="R433" s="266"/>
      <c r="S433" s="216"/>
      <c r="T433" s="216"/>
      <c r="U433" s="217"/>
      <c r="V433" s="216"/>
      <c r="W433" s="216"/>
      <c r="X433" s="216"/>
      <c r="Y433" s="216"/>
      <c r="Z433" s="216"/>
      <c r="AA433" s="216"/>
      <c r="AB433" s="216"/>
      <c r="AC433" s="216"/>
      <c r="AD433" s="216"/>
      <c r="AE433" s="216"/>
      <c r="AF433" s="216"/>
      <c r="AG433" s="216"/>
      <c r="AH433" s="216"/>
      <c r="AI433" s="216"/>
      <c r="AJ433" s="216"/>
      <c r="AK433" s="216"/>
      <c r="AL433" s="216"/>
      <c r="AM433" s="216"/>
      <c r="AN433" s="216"/>
    </row>
    <row r="434">
      <c r="B434" s="267"/>
      <c r="C434" s="266"/>
      <c r="D434" s="266"/>
      <c r="E434" s="266"/>
      <c r="F434" s="266"/>
      <c r="G434" s="266"/>
      <c r="H434" s="266"/>
      <c r="I434" s="266"/>
      <c r="J434" s="266"/>
      <c r="K434" s="266"/>
      <c r="L434" s="266"/>
      <c r="M434" s="266"/>
      <c r="N434" s="266"/>
      <c r="O434" s="266"/>
      <c r="P434" s="266"/>
      <c r="Q434" s="266"/>
      <c r="R434" s="266"/>
      <c r="S434" s="216"/>
      <c r="T434" s="216"/>
      <c r="U434" s="217"/>
      <c r="V434" s="216"/>
      <c r="W434" s="216"/>
      <c r="X434" s="216"/>
      <c r="Y434" s="216"/>
      <c r="Z434" s="216"/>
      <c r="AA434" s="216"/>
      <c r="AB434" s="216"/>
      <c r="AC434" s="216"/>
      <c r="AD434" s="216"/>
      <c r="AE434" s="216"/>
      <c r="AF434" s="216"/>
      <c r="AG434" s="216"/>
      <c r="AH434" s="216"/>
      <c r="AI434" s="216"/>
      <c r="AJ434" s="216"/>
      <c r="AK434" s="216"/>
      <c r="AL434" s="216"/>
      <c r="AM434" s="216"/>
      <c r="AN434" s="216"/>
    </row>
    <row r="435">
      <c r="B435" s="267"/>
      <c r="C435" s="266"/>
      <c r="D435" s="266"/>
      <c r="E435" s="266"/>
      <c r="F435" s="266"/>
      <c r="G435" s="266"/>
      <c r="H435" s="266"/>
      <c r="I435" s="266"/>
      <c r="J435" s="266"/>
      <c r="K435" s="266"/>
      <c r="L435" s="266"/>
      <c r="M435" s="266"/>
      <c r="N435" s="266"/>
      <c r="O435" s="266"/>
      <c r="P435" s="266"/>
      <c r="Q435" s="266"/>
      <c r="R435" s="266"/>
      <c r="S435" s="216"/>
      <c r="T435" s="216"/>
      <c r="U435" s="217"/>
      <c r="V435" s="216"/>
      <c r="W435" s="216"/>
      <c r="X435" s="216"/>
      <c r="Y435" s="216"/>
      <c r="Z435" s="216"/>
      <c r="AA435" s="216"/>
      <c r="AB435" s="216"/>
      <c r="AC435" s="216"/>
      <c r="AD435" s="216"/>
      <c r="AE435" s="216"/>
      <c r="AF435" s="216"/>
      <c r="AG435" s="216"/>
      <c r="AH435" s="216"/>
      <c r="AI435" s="216"/>
      <c r="AJ435" s="216"/>
      <c r="AK435" s="216"/>
      <c r="AL435" s="216"/>
      <c r="AM435" s="216"/>
      <c r="AN435" s="216"/>
    </row>
    <row r="436">
      <c r="B436" s="267"/>
      <c r="C436" s="266"/>
      <c r="D436" s="266"/>
      <c r="E436" s="266"/>
      <c r="F436" s="266"/>
      <c r="G436" s="266"/>
      <c r="H436" s="266"/>
      <c r="I436" s="266"/>
      <c r="J436" s="266"/>
      <c r="K436" s="266"/>
      <c r="L436" s="266"/>
      <c r="M436" s="266"/>
      <c r="N436" s="266"/>
      <c r="O436" s="266"/>
      <c r="P436" s="266"/>
      <c r="Q436" s="266"/>
      <c r="R436" s="266"/>
      <c r="S436" s="216"/>
      <c r="T436" s="216"/>
      <c r="U436" s="217"/>
      <c r="V436" s="216"/>
      <c r="W436" s="216"/>
      <c r="X436" s="216"/>
      <c r="Y436" s="216"/>
      <c r="Z436" s="216"/>
      <c r="AA436" s="216"/>
      <c r="AB436" s="216"/>
      <c r="AC436" s="216"/>
      <c r="AD436" s="216"/>
      <c r="AE436" s="216"/>
      <c r="AF436" s="216"/>
      <c r="AG436" s="216"/>
      <c r="AH436" s="216"/>
      <c r="AI436" s="216"/>
      <c r="AJ436" s="216"/>
      <c r="AK436" s="216"/>
      <c r="AL436" s="216"/>
      <c r="AM436" s="216"/>
      <c r="AN436" s="216"/>
    </row>
    <row r="437">
      <c r="B437" s="267"/>
      <c r="C437" s="266"/>
      <c r="D437" s="266"/>
      <c r="E437" s="266"/>
      <c r="F437" s="266"/>
      <c r="G437" s="266"/>
      <c r="H437" s="266"/>
      <c r="I437" s="266"/>
      <c r="J437" s="266"/>
      <c r="K437" s="266"/>
      <c r="L437" s="266"/>
      <c r="M437" s="266"/>
      <c r="N437" s="266"/>
      <c r="O437" s="266"/>
      <c r="P437" s="266"/>
      <c r="Q437" s="266"/>
      <c r="R437" s="266"/>
      <c r="S437" s="216"/>
      <c r="T437" s="216"/>
      <c r="U437" s="217"/>
      <c r="V437" s="216"/>
      <c r="W437" s="216"/>
      <c r="X437" s="216"/>
      <c r="Y437" s="216"/>
      <c r="Z437" s="216"/>
      <c r="AA437" s="216"/>
      <c r="AB437" s="216"/>
      <c r="AC437" s="216"/>
      <c r="AD437" s="216"/>
      <c r="AE437" s="216"/>
      <c r="AF437" s="216"/>
      <c r="AG437" s="216"/>
      <c r="AH437" s="216"/>
      <c r="AI437" s="216"/>
      <c r="AJ437" s="216"/>
      <c r="AK437" s="216"/>
      <c r="AL437" s="216"/>
      <c r="AM437" s="216"/>
      <c r="AN437" s="216"/>
    </row>
    <row r="438">
      <c r="B438" s="267"/>
      <c r="C438" s="266"/>
      <c r="D438" s="266"/>
      <c r="E438" s="266"/>
      <c r="F438" s="266"/>
      <c r="G438" s="266"/>
      <c r="H438" s="266"/>
      <c r="I438" s="266"/>
      <c r="J438" s="266"/>
      <c r="K438" s="266"/>
      <c r="L438" s="266"/>
      <c r="M438" s="266"/>
      <c r="N438" s="266"/>
      <c r="O438" s="266"/>
      <c r="P438" s="266"/>
      <c r="Q438" s="266"/>
      <c r="R438" s="266"/>
      <c r="S438" s="216"/>
      <c r="T438" s="216"/>
      <c r="U438" s="217"/>
      <c r="V438" s="216"/>
      <c r="W438" s="216"/>
      <c r="X438" s="216"/>
      <c r="Y438" s="216"/>
      <c r="Z438" s="216"/>
      <c r="AA438" s="216"/>
      <c r="AB438" s="216"/>
      <c r="AC438" s="216"/>
      <c r="AD438" s="216"/>
      <c r="AE438" s="216"/>
      <c r="AF438" s="216"/>
      <c r="AG438" s="216"/>
      <c r="AH438" s="216"/>
      <c r="AI438" s="216"/>
      <c r="AJ438" s="216"/>
      <c r="AK438" s="216"/>
      <c r="AL438" s="216"/>
      <c r="AM438" s="216"/>
      <c r="AN438" s="216"/>
    </row>
    <row r="439">
      <c r="B439" s="267"/>
      <c r="C439" s="266"/>
      <c r="D439" s="266"/>
      <c r="E439" s="266"/>
      <c r="F439" s="266"/>
      <c r="G439" s="266"/>
      <c r="H439" s="266"/>
      <c r="I439" s="266"/>
      <c r="J439" s="266"/>
      <c r="K439" s="266"/>
      <c r="L439" s="266"/>
      <c r="M439" s="266"/>
      <c r="N439" s="266"/>
      <c r="O439" s="266"/>
      <c r="P439" s="266"/>
      <c r="Q439" s="266"/>
      <c r="R439" s="266"/>
      <c r="S439" s="216"/>
      <c r="T439" s="216"/>
      <c r="U439" s="217"/>
      <c r="V439" s="216"/>
      <c r="W439" s="216"/>
      <c r="X439" s="216"/>
      <c r="Y439" s="216"/>
      <c r="Z439" s="216"/>
      <c r="AA439" s="216"/>
      <c r="AB439" s="216"/>
      <c r="AC439" s="216"/>
      <c r="AD439" s="216"/>
      <c r="AE439" s="216"/>
      <c r="AF439" s="216"/>
      <c r="AG439" s="216"/>
      <c r="AH439" s="216"/>
      <c r="AI439" s="216"/>
      <c r="AJ439" s="216"/>
      <c r="AK439" s="216"/>
      <c r="AL439" s="216"/>
      <c r="AM439" s="216"/>
      <c r="AN439" s="216"/>
    </row>
    <row r="440">
      <c r="B440" s="267"/>
      <c r="C440" s="266"/>
      <c r="D440" s="266"/>
      <c r="E440" s="266"/>
      <c r="F440" s="266"/>
      <c r="G440" s="266"/>
      <c r="H440" s="266"/>
      <c r="I440" s="266"/>
      <c r="J440" s="266"/>
      <c r="K440" s="266"/>
      <c r="L440" s="266"/>
      <c r="M440" s="266"/>
      <c r="N440" s="266"/>
      <c r="O440" s="266"/>
      <c r="P440" s="266"/>
      <c r="Q440" s="266"/>
      <c r="R440" s="266"/>
      <c r="S440" s="216"/>
      <c r="T440" s="216"/>
      <c r="U440" s="217"/>
      <c r="V440" s="216"/>
      <c r="W440" s="216"/>
      <c r="X440" s="216"/>
      <c r="Y440" s="216"/>
      <c r="Z440" s="216"/>
      <c r="AA440" s="216"/>
      <c r="AB440" s="216"/>
      <c r="AC440" s="216"/>
      <c r="AD440" s="216"/>
      <c r="AE440" s="216"/>
      <c r="AF440" s="216"/>
      <c r="AG440" s="216"/>
      <c r="AH440" s="216"/>
      <c r="AI440" s="216"/>
      <c r="AJ440" s="216"/>
      <c r="AK440" s="216"/>
      <c r="AL440" s="216"/>
      <c r="AM440" s="216"/>
      <c r="AN440" s="216"/>
    </row>
    <row r="441">
      <c r="B441" s="267"/>
      <c r="C441" s="266"/>
      <c r="D441" s="266"/>
      <c r="E441" s="266"/>
      <c r="F441" s="266"/>
      <c r="G441" s="266"/>
      <c r="H441" s="266"/>
      <c r="I441" s="266"/>
      <c r="J441" s="266"/>
      <c r="K441" s="266"/>
      <c r="L441" s="266"/>
      <c r="M441" s="266"/>
      <c r="N441" s="266"/>
      <c r="O441" s="266"/>
      <c r="P441" s="266"/>
      <c r="Q441" s="266"/>
      <c r="R441" s="266"/>
      <c r="S441" s="216"/>
      <c r="T441" s="216"/>
      <c r="U441" s="217"/>
      <c r="V441" s="216"/>
      <c r="W441" s="216"/>
      <c r="X441" s="216"/>
      <c r="Y441" s="216"/>
      <c r="Z441" s="216"/>
      <c r="AA441" s="216"/>
      <c r="AB441" s="216"/>
      <c r="AC441" s="216"/>
      <c r="AD441" s="216"/>
      <c r="AE441" s="216"/>
      <c r="AF441" s="216"/>
      <c r="AG441" s="216"/>
      <c r="AH441" s="216"/>
      <c r="AI441" s="216"/>
      <c r="AJ441" s="216"/>
      <c r="AK441" s="216"/>
      <c r="AL441" s="216"/>
      <c r="AM441" s="216"/>
      <c r="AN441" s="216"/>
    </row>
    <row r="442">
      <c r="B442" s="267"/>
      <c r="C442" s="266"/>
      <c r="D442" s="266"/>
      <c r="E442" s="266"/>
      <c r="F442" s="266"/>
      <c r="G442" s="266"/>
      <c r="H442" s="266"/>
      <c r="I442" s="266"/>
      <c r="J442" s="266"/>
      <c r="K442" s="266"/>
      <c r="L442" s="266"/>
      <c r="M442" s="266"/>
      <c r="N442" s="266"/>
      <c r="O442" s="266"/>
      <c r="P442" s="266"/>
      <c r="Q442" s="266"/>
      <c r="R442" s="266"/>
      <c r="S442" s="216"/>
      <c r="T442" s="216"/>
      <c r="U442" s="217"/>
      <c r="V442" s="216"/>
      <c r="W442" s="216"/>
      <c r="X442" s="216"/>
      <c r="Y442" s="216"/>
      <c r="Z442" s="216"/>
      <c r="AA442" s="216"/>
      <c r="AB442" s="216"/>
      <c r="AC442" s="216"/>
      <c r="AD442" s="216"/>
      <c r="AE442" s="216"/>
      <c r="AF442" s="216"/>
      <c r="AG442" s="216"/>
      <c r="AH442" s="216"/>
      <c r="AI442" s="216"/>
      <c r="AJ442" s="216"/>
      <c r="AK442" s="216"/>
      <c r="AL442" s="216"/>
      <c r="AM442" s="216"/>
      <c r="AN442" s="216"/>
    </row>
    <row r="443">
      <c r="B443" s="267"/>
      <c r="C443" s="266"/>
      <c r="D443" s="266"/>
      <c r="E443" s="266"/>
      <c r="F443" s="266"/>
      <c r="G443" s="266"/>
      <c r="H443" s="266"/>
      <c r="I443" s="266"/>
      <c r="J443" s="266"/>
      <c r="K443" s="266"/>
      <c r="L443" s="266"/>
      <c r="M443" s="266"/>
      <c r="N443" s="266"/>
      <c r="O443" s="266"/>
      <c r="P443" s="266"/>
      <c r="Q443" s="266"/>
      <c r="R443" s="266"/>
      <c r="S443" s="216"/>
      <c r="T443" s="216"/>
      <c r="U443" s="217"/>
      <c r="V443" s="216"/>
      <c r="W443" s="216"/>
      <c r="X443" s="216"/>
      <c r="Y443" s="216"/>
      <c r="Z443" s="216"/>
      <c r="AA443" s="216"/>
      <c r="AB443" s="216"/>
      <c r="AC443" s="216"/>
      <c r="AD443" s="216"/>
      <c r="AE443" s="216"/>
      <c r="AF443" s="216"/>
      <c r="AG443" s="216"/>
      <c r="AH443" s="216"/>
      <c r="AI443" s="216"/>
      <c r="AJ443" s="216"/>
      <c r="AK443" s="216"/>
      <c r="AL443" s="216"/>
      <c r="AM443" s="216"/>
      <c r="AN443" s="216"/>
    </row>
    <row r="444">
      <c r="B444" s="267"/>
      <c r="C444" s="266"/>
      <c r="D444" s="266"/>
      <c r="E444" s="266"/>
      <c r="F444" s="266"/>
      <c r="G444" s="266"/>
      <c r="H444" s="266"/>
      <c r="I444" s="266"/>
      <c r="J444" s="266"/>
      <c r="K444" s="266"/>
      <c r="L444" s="266"/>
      <c r="M444" s="266"/>
      <c r="N444" s="266"/>
      <c r="O444" s="266"/>
      <c r="P444" s="266"/>
      <c r="Q444" s="266"/>
      <c r="R444" s="266"/>
      <c r="S444" s="216"/>
      <c r="T444" s="216"/>
      <c r="U444" s="217"/>
      <c r="V444" s="216"/>
      <c r="W444" s="216"/>
      <c r="X444" s="216"/>
      <c r="Y444" s="216"/>
      <c r="Z444" s="216"/>
      <c r="AA444" s="216"/>
      <c r="AB444" s="216"/>
      <c r="AC444" s="216"/>
      <c r="AD444" s="216"/>
      <c r="AE444" s="216"/>
      <c r="AF444" s="216"/>
      <c r="AG444" s="216"/>
      <c r="AH444" s="216"/>
      <c r="AI444" s="216"/>
      <c r="AJ444" s="216"/>
      <c r="AK444" s="216"/>
      <c r="AL444" s="216"/>
      <c r="AM444" s="216"/>
      <c r="AN444" s="216"/>
    </row>
    <row r="445">
      <c r="B445" s="267"/>
      <c r="C445" s="266"/>
      <c r="D445" s="266"/>
      <c r="E445" s="266"/>
      <c r="F445" s="266"/>
      <c r="G445" s="266"/>
      <c r="H445" s="266"/>
      <c r="I445" s="266"/>
      <c r="J445" s="266"/>
      <c r="K445" s="266"/>
      <c r="L445" s="266"/>
      <c r="M445" s="266"/>
      <c r="N445" s="266"/>
      <c r="O445" s="266"/>
      <c r="P445" s="266"/>
      <c r="Q445" s="266"/>
      <c r="R445" s="266"/>
      <c r="S445" s="216"/>
      <c r="T445" s="216"/>
      <c r="U445" s="217"/>
      <c r="V445" s="216"/>
      <c r="W445" s="216"/>
      <c r="X445" s="216"/>
      <c r="Y445" s="216"/>
      <c r="Z445" s="216"/>
      <c r="AA445" s="216"/>
      <c r="AB445" s="216"/>
      <c r="AC445" s="216"/>
      <c r="AD445" s="216"/>
      <c r="AE445" s="216"/>
      <c r="AF445" s="216"/>
      <c r="AG445" s="216"/>
      <c r="AH445" s="216"/>
      <c r="AI445" s="216"/>
      <c r="AJ445" s="216"/>
      <c r="AK445" s="216"/>
      <c r="AL445" s="216"/>
      <c r="AM445" s="216"/>
      <c r="AN445" s="216"/>
    </row>
    <row r="446">
      <c r="B446" s="267"/>
      <c r="C446" s="266"/>
      <c r="D446" s="266"/>
      <c r="E446" s="266"/>
      <c r="F446" s="266"/>
      <c r="G446" s="266"/>
      <c r="H446" s="266"/>
      <c r="I446" s="266"/>
      <c r="J446" s="266"/>
      <c r="K446" s="266"/>
      <c r="L446" s="266"/>
      <c r="M446" s="266"/>
      <c r="N446" s="266"/>
      <c r="O446" s="266"/>
      <c r="P446" s="266"/>
      <c r="Q446" s="266"/>
      <c r="R446" s="266"/>
      <c r="S446" s="216"/>
      <c r="T446" s="216"/>
      <c r="U446" s="217"/>
      <c r="V446" s="216"/>
      <c r="W446" s="216"/>
      <c r="X446" s="216"/>
      <c r="Y446" s="216"/>
      <c r="Z446" s="216"/>
      <c r="AA446" s="216"/>
      <c r="AB446" s="216"/>
      <c r="AC446" s="216"/>
      <c r="AD446" s="216"/>
      <c r="AE446" s="216"/>
      <c r="AF446" s="216"/>
      <c r="AG446" s="216"/>
      <c r="AH446" s="216"/>
      <c r="AI446" s="216"/>
      <c r="AJ446" s="216"/>
      <c r="AK446" s="216"/>
      <c r="AL446" s="216"/>
      <c r="AM446" s="216"/>
      <c r="AN446" s="216"/>
    </row>
    <row r="447">
      <c r="B447" s="267"/>
      <c r="C447" s="266"/>
      <c r="D447" s="266"/>
      <c r="E447" s="266"/>
      <c r="F447" s="266"/>
      <c r="G447" s="266"/>
      <c r="H447" s="266"/>
      <c r="I447" s="266"/>
      <c r="J447" s="266"/>
      <c r="K447" s="266"/>
      <c r="L447" s="266"/>
      <c r="M447" s="266"/>
      <c r="N447" s="266"/>
      <c r="O447" s="266"/>
      <c r="P447" s="266"/>
      <c r="Q447" s="266"/>
      <c r="R447" s="266"/>
      <c r="S447" s="216"/>
      <c r="T447" s="216"/>
      <c r="U447" s="217"/>
      <c r="V447" s="216"/>
      <c r="W447" s="216"/>
      <c r="X447" s="216"/>
      <c r="Y447" s="216"/>
      <c r="Z447" s="216"/>
      <c r="AA447" s="216"/>
      <c r="AB447" s="216"/>
      <c r="AC447" s="216"/>
      <c r="AD447" s="216"/>
      <c r="AE447" s="216"/>
      <c r="AF447" s="216"/>
      <c r="AG447" s="216"/>
      <c r="AH447" s="216"/>
      <c r="AI447" s="216"/>
      <c r="AJ447" s="216"/>
      <c r="AK447" s="216"/>
      <c r="AL447" s="216"/>
      <c r="AM447" s="216"/>
      <c r="AN447" s="216"/>
    </row>
    <row r="448">
      <c r="B448" s="267"/>
      <c r="C448" s="266"/>
      <c r="D448" s="266"/>
      <c r="E448" s="266"/>
      <c r="F448" s="266"/>
      <c r="G448" s="266"/>
      <c r="H448" s="266"/>
      <c r="I448" s="266"/>
      <c r="J448" s="266"/>
      <c r="K448" s="266"/>
      <c r="L448" s="266"/>
      <c r="M448" s="266"/>
      <c r="N448" s="266"/>
      <c r="O448" s="266"/>
      <c r="P448" s="266"/>
      <c r="Q448" s="266"/>
      <c r="R448" s="266"/>
      <c r="S448" s="216"/>
      <c r="T448" s="216"/>
      <c r="U448" s="217"/>
      <c r="V448" s="216"/>
      <c r="W448" s="216"/>
      <c r="X448" s="216"/>
      <c r="Y448" s="216"/>
      <c r="Z448" s="216"/>
      <c r="AA448" s="216"/>
      <c r="AB448" s="216"/>
      <c r="AC448" s="216"/>
      <c r="AD448" s="216"/>
      <c r="AE448" s="216"/>
      <c r="AF448" s="216"/>
      <c r="AG448" s="216"/>
      <c r="AH448" s="216"/>
      <c r="AI448" s="216"/>
      <c r="AJ448" s="216"/>
      <c r="AK448" s="216"/>
      <c r="AL448" s="216"/>
      <c r="AM448" s="216"/>
      <c r="AN448" s="216"/>
    </row>
    <row r="449">
      <c r="B449" s="267"/>
      <c r="C449" s="266"/>
      <c r="D449" s="266"/>
      <c r="E449" s="266"/>
      <c r="F449" s="266"/>
      <c r="G449" s="266"/>
      <c r="H449" s="266"/>
      <c r="I449" s="266"/>
      <c r="J449" s="266"/>
      <c r="K449" s="266"/>
      <c r="L449" s="266"/>
      <c r="M449" s="266"/>
      <c r="N449" s="266"/>
      <c r="O449" s="266"/>
      <c r="P449" s="266"/>
      <c r="Q449" s="266"/>
      <c r="R449" s="266"/>
      <c r="S449" s="216"/>
      <c r="T449" s="216"/>
      <c r="U449" s="217"/>
      <c r="V449" s="216"/>
      <c r="W449" s="216"/>
      <c r="X449" s="216"/>
      <c r="Y449" s="216"/>
      <c r="Z449" s="216"/>
      <c r="AA449" s="216"/>
      <c r="AB449" s="216"/>
      <c r="AC449" s="216"/>
      <c r="AD449" s="216"/>
      <c r="AE449" s="216"/>
      <c r="AF449" s="216"/>
      <c r="AG449" s="216"/>
      <c r="AH449" s="216"/>
      <c r="AI449" s="216"/>
      <c r="AJ449" s="216"/>
      <c r="AK449" s="216"/>
      <c r="AL449" s="216"/>
      <c r="AM449" s="216"/>
      <c r="AN449" s="216"/>
    </row>
    <row r="450">
      <c r="B450" s="267"/>
      <c r="C450" s="266"/>
      <c r="D450" s="266"/>
      <c r="E450" s="266"/>
      <c r="F450" s="266"/>
      <c r="G450" s="266"/>
      <c r="H450" s="266"/>
      <c r="I450" s="266"/>
      <c r="J450" s="266"/>
      <c r="K450" s="266"/>
      <c r="L450" s="266"/>
      <c r="M450" s="266"/>
      <c r="N450" s="266"/>
      <c r="O450" s="266"/>
      <c r="P450" s="266"/>
      <c r="Q450" s="266"/>
      <c r="R450" s="266"/>
      <c r="S450" s="216"/>
      <c r="T450" s="216"/>
      <c r="U450" s="217"/>
      <c r="V450" s="216"/>
      <c r="W450" s="216"/>
      <c r="X450" s="216"/>
      <c r="Y450" s="216"/>
      <c r="Z450" s="216"/>
      <c r="AA450" s="216"/>
      <c r="AB450" s="216"/>
      <c r="AC450" s="216"/>
      <c r="AD450" s="216"/>
      <c r="AE450" s="216"/>
      <c r="AF450" s="216"/>
      <c r="AG450" s="216"/>
      <c r="AH450" s="216"/>
      <c r="AI450" s="216"/>
      <c r="AJ450" s="216"/>
      <c r="AK450" s="216"/>
      <c r="AL450" s="216"/>
      <c r="AM450" s="216"/>
      <c r="AN450" s="216"/>
    </row>
    <row r="451">
      <c r="B451" s="267"/>
      <c r="C451" s="266"/>
      <c r="D451" s="266"/>
      <c r="E451" s="266"/>
      <c r="F451" s="266"/>
      <c r="G451" s="266"/>
      <c r="H451" s="266"/>
      <c r="I451" s="266"/>
      <c r="J451" s="266"/>
      <c r="K451" s="266"/>
      <c r="L451" s="266"/>
      <c r="M451" s="266"/>
      <c r="N451" s="266"/>
      <c r="O451" s="266"/>
      <c r="P451" s="266"/>
      <c r="Q451" s="266"/>
      <c r="R451" s="266"/>
      <c r="S451" s="216"/>
      <c r="T451" s="216"/>
      <c r="U451" s="217"/>
      <c r="V451" s="216"/>
      <c r="W451" s="216"/>
      <c r="X451" s="216"/>
      <c r="Y451" s="216"/>
      <c r="Z451" s="216"/>
      <c r="AA451" s="216"/>
      <c r="AB451" s="216"/>
      <c r="AC451" s="216"/>
      <c r="AD451" s="216"/>
      <c r="AE451" s="216"/>
      <c r="AF451" s="216"/>
      <c r="AG451" s="216"/>
      <c r="AH451" s="216"/>
      <c r="AI451" s="216"/>
      <c r="AJ451" s="216"/>
      <c r="AK451" s="216"/>
      <c r="AL451" s="216"/>
      <c r="AM451" s="216"/>
      <c r="AN451" s="216"/>
    </row>
    <row r="452">
      <c r="B452" s="267"/>
      <c r="C452" s="266"/>
      <c r="D452" s="266"/>
      <c r="E452" s="266"/>
      <c r="F452" s="266"/>
      <c r="G452" s="266"/>
      <c r="H452" s="266"/>
      <c r="I452" s="266"/>
      <c r="J452" s="266"/>
      <c r="K452" s="266"/>
      <c r="L452" s="266"/>
      <c r="M452" s="266"/>
      <c r="N452" s="266"/>
      <c r="O452" s="266"/>
      <c r="P452" s="266"/>
      <c r="Q452" s="266"/>
      <c r="R452" s="266"/>
      <c r="S452" s="216"/>
      <c r="T452" s="216"/>
      <c r="U452" s="217"/>
      <c r="V452" s="216"/>
      <c r="W452" s="216"/>
      <c r="X452" s="216"/>
      <c r="Y452" s="216"/>
      <c r="Z452" s="216"/>
      <c r="AA452" s="216"/>
      <c r="AB452" s="216"/>
      <c r="AC452" s="216"/>
      <c r="AD452" s="216"/>
      <c r="AE452" s="216"/>
      <c r="AF452" s="216"/>
      <c r="AG452" s="216"/>
      <c r="AH452" s="216"/>
      <c r="AI452" s="216"/>
      <c r="AJ452" s="216"/>
      <c r="AK452" s="216"/>
      <c r="AL452" s="216"/>
      <c r="AM452" s="216"/>
      <c r="AN452" s="216"/>
    </row>
    <row r="453">
      <c r="B453" s="267"/>
      <c r="C453" s="266"/>
      <c r="D453" s="266"/>
      <c r="E453" s="266"/>
      <c r="F453" s="266"/>
      <c r="G453" s="266"/>
      <c r="H453" s="266"/>
      <c r="I453" s="266"/>
      <c r="J453" s="266"/>
      <c r="K453" s="266"/>
      <c r="L453" s="266"/>
      <c r="M453" s="266"/>
      <c r="N453" s="266"/>
      <c r="O453" s="266"/>
      <c r="P453" s="266"/>
      <c r="Q453" s="266"/>
      <c r="R453" s="266"/>
      <c r="S453" s="216"/>
      <c r="T453" s="216"/>
      <c r="U453" s="217"/>
      <c r="V453" s="216"/>
      <c r="W453" s="216"/>
      <c r="X453" s="216"/>
      <c r="Y453" s="216"/>
      <c r="Z453" s="216"/>
      <c r="AA453" s="216"/>
      <c r="AB453" s="216"/>
      <c r="AC453" s="216"/>
      <c r="AD453" s="216"/>
      <c r="AE453" s="216"/>
      <c r="AF453" s="216"/>
      <c r="AG453" s="216"/>
      <c r="AH453" s="216"/>
      <c r="AI453" s="216"/>
      <c r="AJ453" s="216"/>
      <c r="AK453" s="216"/>
      <c r="AL453" s="216"/>
      <c r="AM453" s="216"/>
      <c r="AN453" s="216"/>
    </row>
    <row r="454">
      <c r="B454" s="267"/>
      <c r="C454" s="266"/>
      <c r="D454" s="266"/>
      <c r="E454" s="266"/>
      <c r="F454" s="266"/>
      <c r="G454" s="266"/>
      <c r="H454" s="266"/>
      <c r="I454" s="266"/>
      <c r="J454" s="266"/>
      <c r="K454" s="266"/>
      <c r="L454" s="266"/>
      <c r="M454" s="266"/>
      <c r="N454" s="266"/>
      <c r="O454" s="266"/>
      <c r="P454" s="266"/>
      <c r="Q454" s="266"/>
      <c r="R454" s="266"/>
      <c r="S454" s="216"/>
      <c r="T454" s="216"/>
      <c r="U454" s="217"/>
      <c r="V454" s="216"/>
      <c r="W454" s="216"/>
      <c r="X454" s="216"/>
      <c r="Y454" s="216"/>
      <c r="Z454" s="216"/>
      <c r="AA454" s="216"/>
      <c r="AB454" s="216"/>
      <c r="AC454" s="216"/>
      <c r="AD454" s="216"/>
      <c r="AE454" s="216"/>
      <c r="AF454" s="216"/>
      <c r="AG454" s="216"/>
      <c r="AH454" s="216"/>
      <c r="AI454" s="216"/>
      <c r="AJ454" s="216"/>
      <c r="AK454" s="216"/>
      <c r="AL454" s="216"/>
      <c r="AM454" s="216"/>
      <c r="AN454" s="216"/>
    </row>
    <row r="455">
      <c r="B455" s="267"/>
      <c r="C455" s="266"/>
      <c r="D455" s="266"/>
      <c r="E455" s="266"/>
      <c r="F455" s="266"/>
      <c r="G455" s="266"/>
      <c r="H455" s="266"/>
      <c r="I455" s="266"/>
      <c r="J455" s="266"/>
      <c r="K455" s="266"/>
      <c r="L455" s="266"/>
      <c r="M455" s="266"/>
      <c r="N455" s="266"/>
      <c r="O455" s="266"/>
      <c r="P455" s="266"/>
      <c r="Q455" s="266"/>
      <c r="R455" s="266"/>
      <c r="S455" s="216"/>
      <c r="T455" s="216"/>
      <c r="U455" s="217"/>
      <c r="V455" s="216"/>
      <c r="W455" s="216"/>
      <c r="X455" s="216"/>
      <c r="Y455" s="216"/>
      <c r="Z455" s="216"/>
      <c r="AA455" s="216"/>
      <c r="AB455" s="216"/>
      <c r="AC455" s="216"/>
      <c r="AD455" s="216"/>
      <c r="AE455" s="216"/>
      <c r="AF455" s="216"/>
      <c r="AG455" s="216"/>
      <c r="AH455" s="216"/>
      <c r="AI455" s="216"/>
      <c r="AJ455" s="216"/>
      <c r="AK455" s="216"/>
      <c r="AL455" s="216"/>
      <c r="AM455" s="216"/>
      <c r="AN455" s="216"/>
    </row>
    <row r="456">
      <c r="B456" s="267"/>
      <c r="C456" s="266"/>
      <c r="D456" s="266"/>
      <c r="E456" s="266"/>
      <c r="F456" s="266"/>
      <c r="G456" s="266"/>
      <c r="H456" s="266"/>
      <c r="I456" s="266"/>
      <c r="J456" s="266"/>
      <c r="K456" s="266"/>
      <c r="L456" s="266"/>
      <c r="M456" s="266"/>
      <c r="N456" s="266"/>
      <c r="O456" s="266"/>
      <c r="P456" s="266"/>
      <c r="Q456" s="266"/>
      <c r="R456" s="266"/>
      <c r="S456" s="216"/>
      <c r="T456" s="216"/>
      <c r="U456" s="217"/>
      <c r="V456" s="216"/>
      <c r="W456" s="216"/>
      <c r="X456" s="216"/>
      <c r="Y456" s="216"/>
      <c r="Z456" s="216"/>
      <c r="AA456" s="216"/>
      <c r="AB456" s="216"/>
      <c r="AC456" s="216"/>
      <c r="AD456" s="216"/>
      <c r="AE456" s="216"/>
      <c r="AF456" s="216"/>
      <c r="AG456" s="216"/>
      <c r="AH456" s="216"/>
      <c r="AI456" s="216"/>
      <c r="AJ456" s="216"/>
      <c r="AK456" s="216"/>
      <c r="AL456" s="216"/>
      <c r="AM456" s="216"/>
      <c r="AN456" s="216"/>
    </row>
    <row r="457">
      <c r="B457" s="267"/>
      <c r="C457" s="266"/>
      <c r="D457" s="266"/>
      <c r="E457" s="266"/>
      <c r="F457" s="266"/>
      <c r="G457" s="266"/>
      <c r="H457" s="266"/>
      <c r="I457" s="266"/>
      <c r="J457" s="266"/>
      <c r="K457" s="266"/>
      <c r="L457" s="266"/>
      <c r="M457" s="266"/>
      <c r="N457" s="266"/>
      <c r="O457" s="266"/>
      <c r="P457" s="266"/>
      <c r="Q457" s="266"/>
      <c r="R457" s="266"/>
      <c r="S457" s="216"/>
      <c r="T457" s="216"/>
      <c r="U457" s="217"/>
      <c r="V457" s="216"/>
      <c r="W457" s="216"/>
      <c r="X457" s="216"/>
      <c r="Y457" s="216"/>
      <c r="Z457" s="216"/>
      <c r="AA457" s="216"/>
      <c r="AB457" s="216"/>
      <c r="AC457" s="216"/>
      <c r="AD457" s="216"/>
      <c r="AE457" s="216"/>
      <c r="AF457" s="216"/>
      <c r="AG457" s="216"/>
      <c r="AH457" s="216"/>
      <c r="AI457" s="216"/>
      <c r="AJ457" s="216"/>
      <c r="AK457" s="216"/>
      <c r="AL457" s="216"/>
      <c r="AM457" s="216"/>
      <c r="AN457" s="216"/>
    </row>
    <row r="458">
      <c r="B458" s="267"/>
      <c r="C458" s="266"/>
      <c r="D458" s="266"/>
      <c r="E458" s="266"/>
      <c r="F458" s="266"/>
      <c r="G458" s="266"/>
      <c r="H458" s="266"/>
      <c r="I458" s="266"/>
      <c r="J458" s="266"/>
      <c r="K458" s="266"/>
      <c r="L458" s="266"/>
      <c r="M458" s="266"/>
      <c r="N458" s="266"/>
      <c r="O458" s="266"/>
      <c r="P458" s="266"/>
      <c r="Q458" s="266"/>
      <c r="R458" s="266"/>
      <c r="S458" s="216"/>
      <c r="T458" s="216"/>
      <c r="U458" s="217"/>
      <c r="V458" s="216"/>
      <c r="W458" s="216"/>
      <c r="X458" s="216"/>
      <c r="Y458" s="216"/>
      <c r="Z458" s="216"/>
      <c r="AA458" s="216"/>
      <c r="AB458" s="216"/>
      <c r="AC458" s="216"/>
      <c r="AD458" s="216"/>
      <c r="AE458" s="216"/>
      <c r="AF458" s="216"/>
      <c r="AG458" s="216"/>
      <c r="AH458" s="216"/>
      <c r="AI458" s="216"/>
      <c r="AJ458" s="216"/>
      <c r="AK458" s="216"/>
      <c r="AL458" s="216"/>
      <c r="AM458" s="216"/>
      <c r="AN458" s="216"/>
    </row>
    <row r="459">
      <c r="B459" s="267"/>
      <c r="C459" s="266"/>
      <c r="D459" s="266"/>
      <c r="E459" s="266"/>
      <c r="F459" s="266"/>
      <c r="G459" s="266"/>
      <c r="H459" s="266"/>
      <c r="I459" s="266"/>
      <c r="J459" s="266"/>
      <c r="K459" s="266"/>
      <c r="L459" s="266"/>
      <c r="M459" s="266"/>
      <c r="N459" s="266"/>
      <c r="O459" s="266"/>
      <c r="P459" s="266"/>
      <c r="Q459" s="266"/>
      <c r="R459" s="266"/>
      <c r="S459" s="216"/>
      <c r="T459" s="216"/>
      <c r="U459" s="217"/>
      <c r="V459" s="216"/>
      <c r="W459" s="216"/>
      <c r="X459" s="216"/>
      <c r="Y459" s="216"/>
      <c r="Z459" s="216"/>
      <c r="AA459" s="216"/>
      <c r="AB459" s="216"/>
      <c r="AC459" s="216"/>
      <c r="AD459" s="216"/>
      <c r="AE459" s="216"/>
      <c r="AF459" s="216"/>
      <c r="AG459" s="216"/>
      <c r="AH459" s="216"/>
      <c r="AI459" s="216"/>
      <c r="AJ459" s="216"/>
      <c r="AK459" s="216"/>
      <c r="AL459" s="216"/>
      <c r="AM459" s="216"/>
      <c r="AN459" s="216"/>
    </row>
    <row r="460">
      <c r="B460" s="267"/>
      <c r="C460" s="266"/>
      <c r="D460" s="266"/>
      <c r="E460" s="266"/>
      <c r="F460" s="266"/>
      <c r="G460" s="266"/>
      <c r="H460" s="266"/>
      <c r="I460" s="266"/>
      <c r="J460" s="266"/>
      <c r="K460" s="266"/>
      <c r="L460" s="266"/>
      <c r="M460" s="266"/>
      <c r="N460" s="266"/>
      <c r="O460" s="266"/>
      <c r="P460" s="266"/>
      <c r="Q460" s="266"/>
      <c r="R460" s="266"/>
      <c r="S460" s="216"/>
      <c r="T460" s="216"/>
      <c r="U460" s="217"/>
      <c r="V460" s="216"/>
      <c r="W460" s="216"/>
      <c r="X460" s="216"/>
      <c r="Y460" s="216"/>
      <c r="Z460" s="216"/>
      <c r="AA460" s="216"/>
      <c r="AB460" s="216"/>
      <c r="AC460" s="216"/>
      <c r="AD460" s="216"/>
      <c r="AE460" s="216"/>
      <c r="AF460" s="216"/>
      <c r="AG460" s="216"/>
      <c r="AH460" s="216"/>
      <c r="AI460" s="216"/>
      <c r="AJ460" s="216"/>
      <c r="AK460" s="216"/>
      <c r="AL460" s="216"/>
      <c r="AM460" s="216"/>
      <c r="AN460" s="216"/>
    </row>
    <row r="461">
      <c r="B461" s="267"/>
      <c r="C461" s="266"/>
      <c r="D461" s="266"/>
      <c r="E461" s="266"/>
      <c r="F461" s="266"/>
      <c r="G461" s="266"/>
      <c r="H461" s="266"/>
      <c r="I461" s="266"/>
      <c r="J461" s="266"/>
      <c r="K461" s="266"/>
      <c r="L461" s="266"/>
      <c r="M461" s="266"/>
      <c r="N461" s="266"/>
      <c r="O461" s="266"/>
      <c r="P461" s="266"/>
      <c r="Q461" s="266"/>
      <c r="R461" s="266"/>
      <c r="S461" s="216"/>
      <c r="T461" s="216"/>
      <c r="U461" s="217"/>
      <c r="V461" s="216"/>
      <c r="W461" s="216"/>
      <c r="X461" s="216"/>
      <c r="Y461" s="216"/>
      <c r="Z461" s="216"/>
      <c r="AA461" s="216"/>
      <c r="AB461" s="216"/>
      <c r="AC461" s="216"/>
      <c r="AD461" s="216"/>
      <c r="AE461" s="216"/>
      <c r="AF461" s="216"/>
      <c r="AG461" s="216"/>
      <c r="AH461" s="216"/>
      <c r="AI461" s="216"/>
      <c r="AJ461" s="216"/>
      <c r="AK461" s="216"/>
      <c r="AL461" s="216"/>
      <c r="AM461" s="216"/>
      <c r="AN461" s="216"/>
    </row>
    <row r="462">
      <c r="B462" s="267"/>
      <c r="C462" s="266"/>
      <c r="D462" s="266"/>
      <c r="E462" s="266"/>
      <c r="F462" s="266"/>
      <c r="G462" s="266"/>
      <c r="H462" s="266"/>
      <c r="I462" s="266"/>
      <c r="J462" s="266"/>
      <c r="K462" s="266"/>
      <c r="L462" s="266"/>
      <c r="M462" s="266"/>
      <c r="N462" s="266"/>
      <c r="O462" s="266"/>
      <c r="P462" s="266"/>
      <c r="Q462" s="266"/>
      <c r="R462" s="266"/>
      <c r="S462" s="216"/>
      <c r="T462" s="216"/>
      <c r="U462" s="217"/>
      <c r="V462" s="216"/>
      <c r="W462" s="216"/>
      <c r="X462" s="216"/>
      <c r="Y462" s="216"/>
      <c r="Z462" s="216"/>
      <c r="AA462" s="216"/>
      <c r="AB462" s="216"/>
      <c r="AC462" s="216"/>
      <c r="AD462" s="216"/>
      <c r="AE462" s="216"/>
      <c r="AF462" s="216"/>
      <c r="AG462" s="216"/>
      <c r="AH462" s="216"/>
      <c r="AI462" s="216"/>
      <c r="AJ462" s="216"/>
      <c r="AK462" s="216"/>
      <c r="AL462" s="216"/>
      <c r="AM462" s="216"/>
      <c r="AN462" s="216"/>
    </row>
    <row r="463">
      <c r="B463" s="267"/>
      <c r="C463" s="266"/>
      <c r="D463" s="266"/>
      <c r="E463" s="266"/>
      <c r="F463" s="266"/>
      <c r="G463" s="266"/>
      <c r="H463" s="266"/>
      <c r="I463" s="266"/>
      <c r="J463" s="266"/>
      <c r="K463" s="266"/>
      <c r="L463" s="266"/>
      <c r="M463" s="266"/>
      <c r="N463" s="266"/>
      <c r="O463" s="266"/>
      <c r="P463" s="266"/>
      <c r="Q463" s="266"/>
      <c r="R463" s="266"/>
      <c r="S463" s="216"/>
      <c r="T463" s="216"/>
      <c r="U463" s="217"/>
      <c r="V463" s="216"/>
      <c r="W463" s="216"/>
      <c r="X463" s="216"/>
      <c r="Y463" s="216"/>
      <c r="Z463" s="216"/>
      <c r="AA463" s="216"/>
      <c r="AB463" s="216"/>
      <c r="AC463" s="216"/>
      <c r="AD463" s="216"/>
      <c r="AE463" s="216"/>
      <c r="AF463" s="216"/>
      <c r="AG463" s="216"/>
      <c r="AH463" s="216"/>
      <c r="AI463" s="216"/>
      <c r="AJ463" s="216"/>
      <c r="AK463" s="216"/>
      <c r="AL463" s="216"/>
      <c r="AM463" s="216"/>
      <c r="AN463" s="216"/>
    </row>
    <row r="464">
      <c r="B464" s="267"/>
      <c r="C464" s="266"/>
      <c r="D464" s="266"/>
      <c r="E464" s="266"/>
      <c r="F464" s="266"/>
      <c r="G464" s="266"/>
      <c r="H464" s="266"/>
      <c r="I464" s="266"/>
      <c r="J464" s="266"/>
      <c r="K464" s="266"/>
      <c r="L464" s="266"/>
      <c r="M464" s="266"/>
      <c r="N464" s="266"/>
      <c r="O464" s="266"/>
      <c r="P464" s="266"/>
      <c r="Q464" s="266"/>
      <c r="R464" s="266"/>
      <c r="S464" s="216"/>
      <c r="T464" s="216"/>
      <c r="U464" s="217"/>
      <c r="V464" s="216"/>
      <c r="W464" s="216"/>
      <c r="X464" s="216"/>
      <c r="Y464" s="216"/>
      <c r="Z464" s="216"/>
      <c r="AA464" s="216"/>
      <c r="AB464" s="216"/>
      <c r="AC464" s="216"/>
      <c r="AD464" s="216"/>
      <c r="AE464" s="216"/>
      <c r="AF464" s="216"/>
      <c r="AG464" s="216"/>
      <c r="AH464" s="216"/>
      <c r="AI464" s="216"/>
      <c r="AJ464" s="216"/>
      <c r="AK464" s="216"/>
      <c r="AL464" s="216"/>
      <c r="AM464" s="216"/>
      <c r="AN464" s="216"/>
    </row>
    <row r="465">
      <c r="B465" s="267"/>
      <c r="C465" s="266"/>
      <c r="D465" s="266"/>
      <c r="E465" s="266"/>
      <c r="F465" s="266"/>
      <c r="G465" s="266"/>
      <c r="H465" s="266"/>
      <c r="I465" s="266"/>
      <c r="J465" s="266"/>
      <c r="K465" s="266"/>
      <c r="L465" s="266"/>
      <c r="M465" s="266"/>
      <c r="N465" s="266"/>
      <c r="O465" s="266"/>
      <c r="P465" s="266"/>
      <c r="Q465" s="266"/>
      <c r="R465" s="266"/>
      <c r="S465" s="216"/>
      <c r="T465" s="216"/>
      <c r="U465" s="217"/>
      <c r="V465" s="216"/>
      <c r="W465" s="216"/>
      <c r="X465" s="216"/>
      <c r="Y465" s="216"/>
      <c r="Z465" s="216"/>
      <c r="AA465" s="216"/>
      <c r="AB465" s="216"/>
      <c r="AC465" s="216"/>
      <c r="AD465" s="216"/>
      <c r="AE465" s="216"/>
      <c r="AF465" s="216"/>
      <c r="AG465" s="216"/>
      <c r="AH465" s="216"/>
      <c r="AI465" s="216"/>
      <c r="AJ465" s="216"/>
      <c r="AK465" s="216"/>
      <c r="AL465" s="216"/>
      <c r="AM465" s="216"/>
      <c r="AN465" s="216"/>
    </row>
    <row r="466">
      <c r="B466" s="267"/>
      <c r="C466" s="266"/>
      <c r="D466" s="266"/>
      <c r="E466" s="266"/>
      <c r="F466" s="266"/>
      <c r="G466" s="266"/>
      <c r="H466" s="266"/>
      <c r="I466" s="266"/>
      <c r="J466" s="266"/>
      <c r="K466" s="266"/>
      <c r="L466" s="266"/>
      <c r="M466" s="266"/>
      <c r="N466" s="266"/>
      <c r="O466" s="266"/>
      <c r="P466" s="266"/>
      <c r="Q466" s="266"/>
      <c r="R466" s="266"/>
      <c r="S466" s="216"/>
      <c r="T466" s="216"/>
      <c r="U466" s="217"/>
      <c r="V466" s="216"/>
      <c r="W466" s="216"/>
      <c r="X466" s="216"/>
      <c r="Y466" s="216"/>
      <c r="Z466" s="216"/>
      <c r="AA466" s="216"/>
      <c r="AB466" s="216"/>
      <c r="AC466" s="216"/>
      <c r="AD466" s="216"/>
      <c r="AE466" s="216"/>
      <c r="AF466" s="216"/>
      <c r="AG466" s="216"/>
      <c r="AH466" s="216"/>
      <c r="AI466" s="216"/>
      <c r="AJ466" s="216"/>
      <c r="AK466" s="216"/>
      <c r="AL466" s="216"/>
      <c r="AM466" s="216"/>
      <c r="AN466" s="216"/>
    </row>
    <row r="467">
      <c r="B467" s="267"/>
      <c r="C467" s="266"/>
      <c r="D467" s="266"/>
      <c r="E467" s="266"/>
      <c r="F467" s="266"/>
      <c r="G467" s="266"/>
      <c r="H467" s="266"/>
      <c r="I467" s="266"/>
      <c r="J467" s="266"/>
      <c r="K467" s="266"/>
      <c r="L467" s="266"/>
      <c r="M467" s="266"/>
      <c r="N467" s="266"/>
      <c r="O467" s="266"/>
      <c r="P467" s="266"/>
      <c r="Q467" s="266"/>
      <c r="R467" s="266"/>
      <c r="S467" s="216"/>
      <c r="T467" s="216"/>
      <c r="U467" s="217"/>
      <c r="V467" s="216"/>
      <c r="W467" s="216"/>
      <c r="X467" s="216"/>
      <c r="Y467" s="216"/>
      <c r="Z467" s="216"/>
      <c r="AA467" s="216"/>
      <c r="AB467" s="216"/>
      <c r="AC467" s="216"/>
      <c r="AD467" s="216"/>
      <c r="AE467" s="216"/>
      <c r="AF467" s="216"/>
      <c r="AG467" s="216"/>
      <c r="AH467" s="216"/>
      <c r="AI467" s="216"/>
      <c r="AJ467" s="216"/>
      <c r="AK467" s="216"/>
      <c r="AL467" s="216"/>
      <c r="AM467" s="216"/>
      <c r="AN467" s="216"/>
    </row>
    <row r="468">
      <c r="B468" s="267"/>
      <c r="C468" s="266"/>
      <c r="D468" s="266"/>
      <c r="E468" s="266"/>
      <c r="F468" s="266"/>
      <c r="G468" s="266"/>
      <c r="H468" s="266"/>
      <c r="I468" s="266"/>
      <c r="J468" s="266"/>
      <c r="K468" s="266"/>
      <c r="L468" s="266"/>
      <c r="M468" s="266"/>
      <c r="N468" s="266"/>
      <c r="O468" s="266"/>
      <c r="P468" s="266"/>
      <c r="Q468" s="266"/>
      <c r="R468" s="266"/>
      <c r="S468" s="216"/>
      <c r="T468" s="216"/>
      <c r="U468" s="217"/>
      <c r="V468" s="216"/>
      <c r="W468" s="216"/>
      <c r="X468" s="216"/>
      <c r="Y468" s="216"/>
      <c r="Z468" s="216"/>
      <c r="AA468" s="216"/>
      <c r="AB468" s="216"/>
      <c r="AC468" s="216"/>
      <c r="AD468" s="216"/>
      <c r="AE468" s="216"/>
      <c r="AF468" s="216"/>
      <c r="AG468" s="216"/>
      <c r="AH468" s="216"/>
      <c r="AI468" s="216"/>
      <c r="AJ468" s="216"/>
      <c r="AK468" s="216"/>
      <c r="AL468" s="216"/>
      <c r="AM468" s="216"/>
      <c r="AN468" s="216"/>
    </row>
    <row r="469">
      <c r="B469" s="267"/>
      <c r="C469" s="266"/>
      <c r="D469" s="266"/>
      <c r="E469" s="266"/>
      <c r="F469" s="266"/>
      <c r="G469" s="266"/>
      <c r="H469" s="266"/>
      <c r="I469" s="266"/>
      <c r="J469" s="266"/>
      <c r="K469" s="266"/>
      <c r="L469" s="266"/>
      <c r="M469" s="266"/>
      <c r="N469" s="266"/>
      <c r="O469" s="266"/>
      <c r="P469" s="266"/>
      <c r="Q469" s="266"/>
      <c r="R469" s="266"/>
      <c r="S469" s="216"/>
      <c r="T469" s="216"/>
      <c r="U469" s="217"/>
      <c r="V469" s="216"/>
      <c r="W469" s="216"/>
      <c r="X469" s="216"/>
      <c r="Y469" s="216"/>
      <c r="Z469" s="216"/>
      <c r="AA469" s="216"/>
      <c r="AB469" s="216"/>
      <c r="AC469" s="216"/>
      <c r="AD469" s="216"/>
      <c r="AE469" s="216"/>
      <c r="AF469" s="216"/>
      <c r="AG469" s="216"/>
      <c r="AH469" s="216"/>
      <c r="AI469" s="216"/>
      <c r="AJ469" s="216"/>
      <c r="AK469" s="216"/>
      <c r="AL469" s="216"/>
      <c r="AM469" s="216"/>
      <c r="AN469" s="216"/>
    </row>
    <row r="470">
      <c r="B470" s="267"/>
      <c r="C470" s="266"/>
      <c r="D470" s="266"/>
      <c r="E470" s="266"/>
      <c r="F470" s="266"/>
      <c r="G470" s="266"/>
      <c r="H470" s="266"/>
      <c r="I470" s="266"/>
      <c r="J470" s="266"/>
      <c r="K470" s="266"/>
      <c r="L470" s="266"/>
      <c r="M470" s="266"/>
      <c r="N470" s="266"/>
      <c r="O470" s="266"/>
      <c r="P470" s="266"/>
      <c r="Q470" s="266"/>
      <c r="R470" s="266"/>
      <c r="S470" s="216"/>
      <c r="T470" s="216"/>
      <c r="U470" s="217"/>
      <c r="V470" s="216"/>
      <c r="W470" s="216"/>
      <c r="X470" s="216"/>
      <c r="Y470" s="216"/>
      <c r="Z470" s="216"/>
      <c r="AA470" s="216"/>
      <c r="AB470" s="216"/>
      <c r="AC470" s="216"/>
      <c r="AD470" s="216"/>
      <c r="AE470" s="216"/>
      <c r="AF470" s="216"/>
      <c r="AG470" s="216"/>
      <c r="AH470" s="216"/>
      <c r="AI470" s="216"/>
      <c r="AJ470" s="216"/>
      <c r="AK470" s="216"/>
      <c r="AL470" s="216"/>
      <c r="AM470" s="216"/>
      <c r="AN470" s="216"/>
    </row>
    <row r="471">
      <c r="B471" s="267"/>
      <c r="C471" s="266"/>
      <c r="D471" s="266"/>
      <c r="E471" s="266"/>
      <c r="F471" s="266"/>
      <c r="G471" s="266"/>
      <c r="H471" s="266"/>
      <c r="I471" s="266"/>
      <c r="J471" s="266"/>
      <c r="K471" s="266"/>
      <c r="L471" s="266"/>
      <c r="M471" s="266"/>
      <c r="N471" s="266"/>
      <c r="O471" s="266"/>
      <c r="P471" s="266"/>
      <c r="Q471" s="266"/>
      <c r="R471" s="266"/>
      <c r="S471" s="216"/>
      <c r="T471" s="216"/>
      <c r="U471" s="217"/>
      <c r="V471" s="216"/>
      <c r="W471" s="216"/>
      <c r="X471" s="216"/>
      <c r="Y471" s="216"/>
      <c r="Z471" s="216"/>
      <c r="AA471" s="216"/>
      <c r="AB471" s="216"/>
      <c r="AC471" s="216"/>
      <c r="AD471" s="216"/>
      <c r="AE471" s="216"/>
      <c r="AF471" s="216"/>
      <c r="AG471" s="216"/>
      <c r="AH471" s="216"/>
      <c r="AI471" s="216"/>
      <c r="AJ471" s="216"/>
      <c r="AK471" s="216"/>
      <c r="AL471" s="216"/>
      <c r="AM471" s="216"/>
      <c r="AN471" s="216"/>
    </row>
    <row r="472">
      <c r="B472" s="267"/>
      <c r="C472" s="266"/>
      <c r="D472" s="266"/>
      <c r="E472" s="266"/>
      <c r="F472" s="266"/>
      <c r="G472" s="266"/>
      <c r="H472" s="266"/>
      <c r="I472" s="266"/>
      <c r="J472" s="266"/>
      <c r="K472" s="266"/>
      <c r="L472" s="266"/>
      <c r="M472" s="266"/>
      <c r="N472" s="266"/>
      <c r="O472" s="266"/>
      <c r="P472" s="266"/>
      <c r="Q472" s="266"/>
      <c r="R472" s="266"/>
      <c r="S472" s="216"/>
      <c r="T472" s="216"/>
      <c r="U472" s="217"/>
      <c r="V472" s="216"/>
      <c r="W472" s="216"/>
      <c r="X472" s="216"/>
      <c r="Y472" s="216"/>
      <c r="Z472" s="216"/>
      <c r="AA472" s="216"/>
      <c r="AB472" s="216"/>
      <c r="AC472" s="216"/>
      <c r="AD472" s="216"/>
      <c r="AE472" s="216"/>
      <c r="AF472" s="216"/>
      <c r="AG472" s="216"/>
      <c r="AH472" s="216"/>
      <c r="AI472" s="216"/>
      <c r="AJ472" s="216"/>
      <c r="AK472" s="216"/>
      <c r="AL472" s="216"/>
      <c r="AM472" s="216"/>
      <c r="AN472" s="216"/>
    </row>
    <row r="473">
      <c r="B473" s="267"/>
      <c r="C473" s="266"/>
      <c r="D473" s="266"/>
      <c r="E473" s="266"/>
      <c r="F473" s="266"/>
      <c r="G473" s="266"/>
      <c r="H473" s="266"/>
      <c r="I473" s="266"/>
      <c r="J473" s="266"/>
      <c r="K473" s="266"/>
      <c r="L473" s="266"/>
      <c r="M473" s="266"/>
      <c r="N473" s="266"/>
      <c r="O473" s="266"/>
      <c r="P473" s="266"/>
      <c r="Q473" s="266"/>
      <c r="R473" s="266"/>
      <c r="S473" s="216"/>
      <c r="T473" s="216"/>
      <c r="U473" s="217"/>
      <c r="V473" s="216"/>
      <c r="W473" s="216"/>
      <c r="X473" s="216"/>
      <c r="Y473" s="216"/>
      <c r="Z473" s="216"/>
      <c r="AA473" s="216"/>
      <c r="AB473" s="216"/>
      <c r="AC473" s="216"/>
      <c r="AD473" s="216"/>
      <c r="AE473" s="216"/>
      <c r="AF473" s="216"/>
      <c r="AG473" s="216"/>
      <c r="AH473" s="216"/>
      <c r="AI473" s="216"/>
      <c r="AJ473" s="216"/>
      <c r="AK473" s="216"/>
      <c r="AL473" s="216"/>
      <c r="AM473" s="216"/>
      <c r="AN473" s="216"/>
    </row>
    <row r="474">
      <c r="B474" s="267"/>
      <c r="C474" s="266"/>
      <c r="D474" s="266"/>
      <c r="E474" s="266"/>
      <c r="F474" s="266"/>
      <c r="G474" s="266"/>
      <c r="H474" s="266"/>
      <c r="I474" s="266"/>
      <c r="J474" s="266"/>
      <c r="K474" s="266"/>
      <c r="L474" s="266"/>
      <c r="M474" s="266"/>
      <c r="N474" s="266"/>
      <c r="O474" s="266"/>
      <c r="P474" s="266"/>
      <c r="Q474" s="266"/>
      <c r="R474" s="266"/>
      <c r="S474" s="216"/>
      <c r="T474" s="216"/>
      <c r="U474" s="217"/>
      <c r="V474" s="216"/>
      <c r="W474" s="216"/>
      <c r="X474" s="216"/>
      <c r="Y474" s="216"/>
      <c r="Z474" s="216"/>
      <c r="AA474" s="216"/>
      <c r="AB474" s="216"/>
      <c r="AC474" s="216"/>
      <c r="AD474" s="216"/>
      <c r="AE474" s="216"/>
      <c r="AF474" s="216"/>
      <c r="AG474" s="216"/>
      <c r="AH474" s="216"/>
      <c r="AI474" s="216"/>
      <c r="AJ474" s="216"/>
      <c r="AK474" s="216"/>
      <c r="AL474" s="216"/>
      <c r="AM474" s="216"/>
      <c r="AN474" s="216"/>
    </row>
    <row r="475">
      <c r="B475" s="267"/>
      <c r="C475" s="266"/>
      <c r="D475" s="266"/>
      <c r="E475" s="266"/>
      <c r="F475" s="266"/>
      <c r="G475" s="266"/>
      <c r="H475" s="266"/>
      <c r="I475" s="266"/>
      <c r="J475" s="266"/>
      <c r="K475" s="266"/>
      <c r="L475" s="266"/>
      <c r="M475" s="266"/>
      <c r="N475" s="266"/>
      <c r="O475" s="266"/>
      <c r="P475" s="266"/>
      <c r="Q475" s="266"/>
      <c r="R475" s="266"/>
      <c r="S475" s="216"/>
      <c r="T475" s="216"/>
      <c r="U475" s="217"/>
      <c r="V475" s="216"/>
      <c r="W475" s="216"/>
      <c r="X475" s="216"/>
      <c r="Y475" s="216"/>
      <c r="Z475" s="216"/>
      <c r="AA475" s="216"/>
      <c r="AB475" s="216"/>
      <c r="AC475" s="216"/>
      <c r="AD475" s="216"/>
      <c r="AE475" s="216"/>
      <c r="AF475" s="216"/>
      <c r="AG475" s="216"/>
      <c r="AH475" s="216"/>
      <c r="AI475" s="216"/>
      <c r="AJ475" s="216"/>
      <c r="AK475" s="216"/>
      <c r="AL475" s="216"/>
      <c r="AM475" s="216"/>
      <c r="AN475" s="216"/>
    </row>
    <row r="476">
      <c r="B476" s="267"/>
      <c r="C476" s="266"/>
      <c r="D476" s="266"/>
      <c r="E476" s="266"/>
      <c r="F476" s="266"/>
      <c r="G476" s="266"/>
      <c r="H476" s="266"/>
      <c r="I476" s="266"/>
      <c r="J476" s="266"/>
      <c r="K476" s="266"/>
      <c r="L476" s="266"/>
      <c r="M476" s="266"/>
      <c r="N476" s="266"/>
      <c r="O476" s="266"/>
      <c r="P476" s="266"/>
      <c r="Q476" s="266"/>
      <c r="R476" s="266"/>
      <c r="S476" s="216"/>
      <c r="T476" s="216"/>
      <c r="U476" s="217"/>
      <c r="V476" s="216"/>
      <c r="W476" s="216"/>
      <c r="X476" s="216"/>
      <c r="Y476" s="216"/>
      <c r="Z476" s="216"/>
      <c r="AA476" s="216"/>
      <c r="AB476" s="216"/>
      <c r="AC476" s="216"/>
      <c r="AD476" s="216"/>
      <c r="AE476" s="216"/>
      <c r="AF476" s="216"/>
      <c r="AG476" s="216"/>
      <c r="AH476" s="216"/>
      <c r="AI476" s="216"/>
      <c r="AJ476" s="216"/>
      <c r="AK476" s="216"/>
      <c r="AL476" s="216"/>
      <c r="AM476" s="216"/>
      <c r="AN476" s="216"/>
    </row>
    <row r="477">
      <c r="B477" s="267"/>
      <c r="C477" s="266"/>
      <c r="D477" s="266"/>
      <c r="E477" s="266"/>
      <c r="F477" s="266"/>
      <c r="G477" s="266"/>
      <c r="H477" s="266"/>
      <c r="I477" s="266"/>
      <c r="J477" s="266"/>
      <c r="K477" s="266"/>
      <c r="L477" s="266"/>
      <c r="M477" s="266"/>
      <c r="N477" s="266"/>
      <c r="O477" s="266"/>
      <c r="P477" s="266"/>
      <c r="Q477" s="266"/>
      <c r="R477" s="266"/>
      <c r="S477" s="216"/>
      <c r="T477" s="216"/>
      <c r="U477" s="217"/>
      <c r="V477" s="216"/>
      <c r="W477" s="216"/>
      <c r="X477" s="216"/>
      <c r="Y477" s="216"/>
      <c r="Z477" s="216"/>
      <c r="AA477" s="216"/>
      <c r="AB477" s="216"/>
      <c r="AC477" s="216"/>
      <c r="AD477" s="216"/>
      <c r="AE477" s="216"/>
      <c r="AF477" s="216"/>
      <c r="AG477" s="216"/>
      <c r="AH477" s="216"/>
      <c r="AI477" s="216"/>
      <c r="AJ477" s="216"/>
      <c r="AK477" s="216"/>
      <c r="AL477" s="216"/>
      <c r="AM477" s="216"/>
      <c r="AN477" s="216"/>
    </row>
    <row r="478">
      <c r="B478" s="267"/>
      <c r="C478" s="266"/>
      <c r="D478" s="266"/>
      <c r="E478" s="266"/>
      <c r="F478" s="266"/>
      <c r="G478" s="266"/>
      <c r="H478" s="266"/>
      <c r="I478" s="266"/>
      <c r="J478" s="266"/>
      <c r="K478" s="266"/>
      <c r="L478" s="266"/>
      <c r="M478" s="266"/>
      <c r="N478" s="266"/>
      <c r="O478" s="266"/>
      <c r="P478" s="266"/>
      <c r="Q478" s="266"/>
      <c r="R478" s="266"/>
      <c r="S478" s="216"/>
      <c r="T478" s="216"/>
      <c r="U478" s="217"/>
      <c r="V478" s="216"/>
      <c r="W478" s="216"/>
      <c r="X478" s="216"/>
      <c r="Y478" s="216"/>
      <c r="Z478" s="216"/>
      <c r="AA478" s="216"/>
      <c r="AB478" s="216"/>
      <c r="AC478" s="216"/>
      <c r="AD478" s="216"/>
      <c r="AE478" s="216"/>
      <c r="AF478" s="216"/>
      <c r="AG478" s="216"/>
      <c r="AH478" s="216"/>
      <c r="AI478" s="216"/>
      <c r="AJ478" s="216"/>
      <c r="AK478" s="216"/>
      <c r="AL478" s="216"/>
      <c r="AM478" s="216"/>
      <c r="AN478" s="216"/>
    </row>
    <row r="479">
      <c r="B479" s="267"/>
      <c r="C479" s="266"/>
      <c r="D479" s="266"/>
      <c r="E479" s="266"/>
      <c r="F479" s="266"/>
      <c r="G479" s="266"/>
      <c r="H479" s="266"/>
      <c r="I479" s="266"/>
      <c r="J479" s="266"/>
      <c r="K479" s="266"/>
      <c r="L479" s="266"/>
      <c r="M479" s="266"/>
      <c r="N479" s="266"/>
      <c r="O479" s="266"/>
      <c r="P479" s="266"/>
      <c r="Q479" s="266"/>
      <c r="R479" s="266"/>
      <c r="S479" s="216"/>
      <c r="T479" s="216"/>
      <c r="U479" s="217"/>
      <c r="V479" s="216"/>
      <c r="W479" s="216"/>
      <c r="X479" s="216"/>
      <c r="Y479" s="216"/>
      <c r="Z479" s="216"/>
      <c r="AA479" s="216"/>
      <c r="AB479" s="216"/>
      <c r="AC479" s="216"/>
      <c r="AD479" s="216"/>
      <c r="AE479" s="216"/>
      <c r="AF479" s="216"/>
      <c r="AG479" s="216"/>
      <c r="AH479" s="216"/>
      <c r="AI479" s="216"/>
      <c r="AJ479" s="216"/>
      <c r="AK479" s="216"/>
      <c r="AL479" s="216"/>
      <c r="AM479" s="216"/>
      <c r="AN479" s="216"/>
    </row>
    <row r="480">
      <c r="B480" s="267"/>
      <c r="C480" s="266"/>
      <c r="D480" s="266"/>
      <c r="E480" s="266"/>
      <c r="F480" s="266"/>
      <c r="G480" s="266"/>
      <c r="H480" s="266"/>
      <c r="I480" s="266"/>
      <c r="J480" s="266"/>
      <c r="K480" s="266"/>
      <c r="L480" s="266"/>
      <c r="M480" s="266"/>
      <c r="N480" s="266"/>
      <c r="O480" s="266"/>
      <c r="P480" s="266"/>
      <c r="Q480" s="266"/>
      <c r="R480" s="266"/>
      <c r="S480" s="216"/>
      <c r="T480" s="216"/>
      <c r="U480" s="217"/>
      <c r="V480" s="216"/>
      <c r="W480" s="216"/>
      <c r="X480" s="216"/>
      <c r="Y480" s="216"/>
      <c r="Z480" s="216"/>
      <c r="AA480" s="216"/>
      <c r="AB480" s="216"/>
      <c r="AC480" s="216"/>
      <c r="AD480" s="216"/>
      <c r="AE480" s="216"/>
      <c r="AF480" s="216"/>
      <c r="AG480" s="216"/>
      <c r="AH480" s="216"/>
      <c r="AI480" s="216"/>
      <c r="AJ480" s="216"/>
      <c r="AK480" s="216"/>
      <c r="AL480" s="216"/>
      <c r="AM480" s="216"/>
      <c r="AN480" s="216"/>
    </row>
    <row r="481">
      <c r="B481" s="267"/>
      <c r="C481" s="266"/>
      <c r="D481" s="266"/>
      <c r="E481" s="266"/>
      <c r="F481" s="266"/>
      <c r="G481" s="266"/>
      <c r="H481" s="266"/>
      <c r="I481" s="266"/>
      <c r="J481" s="266"/>
      <c r="K481" s="266"/>
      <c r="L481" s="266"/>
      <c r="M481" s="266"/>
      <c r="N481" s="266"/>
      <c r="O481" s="266"/>
      <c r="P481" s="266"/>
      <c r="Q481" s="266"/>
      <c r="R481" s="266"/>
      <c r="S481" s="216"/>
      <c r="T481" s="216"/>
      <c r="U481" s="217"/>
      <c r="V481" s="216"/>
      <c r="W481" s="216"/>
      <c r="X481" s="216"/>
      <c r="Y481" s="216"/>
      <c r="Z481" s="216"/>
      <c r="AA481" s="216"/>
      <c r="AB481" s="216"/>
      <c r="AC481" s="216"/>
      <c r="AD481" s="216"/>
      <c r="AE481" s="216"/>
      <c r="AF481" s="216"/>
      <c r="AG481" s="216"/>
      <c r="AH481" s="216"/>
      <c r="AI481" s="216"/>
      <c r="AJ481" s="216"/>
      <c r="AK481" s="216"/>
      <c r="AL481" s="216"/>
      <c r="AM481" s="216"/>
      <c r="AN481" s="216"/>
    </row>
    <row r="482">
      <c r="B482" s="267"/>
      <c r="C482" s="266"/>
      <c r="D482" s="266"/>
      <c r="E482" s="266"/>
      <c r="F482" s="266"/>
      <c r="G482" s="266"/>
      <c r="H482" s="266"/>
      <c r="I482" s="266"/>
      <c r="J482" s="266"/>
      <c r="K482" s="266"/>
      <c r="L482" s="266"/>
      <c r="M482" s="266"/>
      <c r="N482" s="266"/>
      <c r="O482" s="266"/>
      <c r="P482" s="266"/>
      <c r="Q482" s="266"/>
      <c r="R482" s="266"/>
      <c r="S482" s="216"/>
      <c r="T482" s="216"/>
      <c r="U482" s="217"/>
      <c r="V482" s="216"/>
      <c r="W482" s="216"/>
      <c r="X482" s="216"/>
      <c r="Y482" s="216"/>
      <c r="Z482" s="216"/>
      <c r="AA482" s="216"/>
      <c r="AB482" s="216"/>
      <c r="AC482" s="216"/>
      <c r="AD482" s="216"/>
      <c r="AE482" s="216"/>
      <c r="AF482" s="216"/>
      <c r="AG482" s="216"/>
      <c r="AH482" s="216"/>
      <c r="AI482" s="216"/>
      <c r="AJ482" s="216"/>
      <c r="AK482" s="216"/>
      <c r="AL482" s="216"/>
      <c r="AM482" s="216"/>
      <c r="AN482" s="216"/>
    </row>
    <row r="483">
      <c r="B483" s="267"/>
      <c r="C483" s="266"/>
      <c r="D483" s="266"/>
      <c r="E483" s="266"/>
      <c r="F483" s="266"/>
      <c r="G483" s="266"/>
      <c r="H483" s="266"/>
      <c r="I483" s="266"/>
      <c r="J483" s="266"/>
      <c r="K483" s="266"/>
      <c r="L483" s="266"/>
      <c r="M483" s="266"/>
      <c r="N483" s="266"/>
      <c r="O483" s="266"/>
      <c r="P483" s="266"/>
      <c r="Q483" s="266"/>
      <c r="R483" s="266"/>
      <c r="S483" s="216"/>
      <c r="T483" s="216"/>
      <c r="U483" s="217"/>
      <c r="V483" s="216"/>
      <c r="W483" s="216"/>
      <c r="X483" s="216"/>
      <c r="Y483" s="216"/>
      <c r="Z483" s="216"/>
      <c r="AA483" s="216"/>
      <c r="AB483" s="216"/>
      <c r="AC483" s="216"/>
      <c r="AD483" s="216"/>
      <c r="AE483" s="216"/>
      <c r="AF483" s="216"/>
      <c r="AG483" s="216"/>
      <c r="AH483" s="216"/>
      <c r="AI483" s="216"/>
      <c r="AJ483" s="216"/>
      <c r="AK483" s="216"/>
      <c r="AL483" s="216"/>
      <c r="AM483" s="216"/>
      <c r="AN483" s="216"/>
    </row>
    <row r="484">
      <c r="B484" s="267"/>
      <c r="C484" s="266"/>
      <c r="D484" s="266"/>
      <c r="E484" s="266"/>
      <c r="F484" s="266"/>
      <c r="G484" s="266"/>
      <c r="H484" s="266"/>
      <c r="I484" s="266"/>
      <c r="J484" s="266"/>
      <c r="K484" s="266"/>
      <c r="L484" s="266"/>
      <c r="M484" s="266"/>
      <c r="N484" s="266"/>
      <c r="O484" s="266"/>
      <c r="P484" s="266"/>
      <c r="Q484" s="266"/>
      <c r="R484" s="266"/>
      <c r="S484" s="216"/>
      <c r="T484" s="216"/>
      <c r="U484" s="217"/>
      <c r="V484" s="216"/>
      <c r="W484" s="216"/>
      <c r="X484" s="216"/>
      <c r="Y484" s="216"/>
      <c r="Z484" s="216"/>
      <c r="AA484" s="216"/>
      <c r="AB484" s="216"/>
      <c r="AC484" s="216"/>
      <c r="AD484" s="216"/>
      <c r="AE484" s="216"/>
      <c r="AF484" s="216"/>
      <c r="AG484" s="216"/>
      <c r="AH484" s="216"/>
      <c r="AI484" s="216"/>
      <c r="AJ484" s="216"/>
      <c r="AK484" s="216"/>
      <c r="AL484" s="216"/>
      <c r="AM484" s="216"/>
      <c r="AN484" s="216"/>
    </row>
    <row r="485">
      <c r="B485" s="267"/>
      <c r="C485" s="266"/>
      <c r="D485" s="266"/>
      <c r="E485" s="266"/>
      <c r="F485" s="266"/>
      <c r="G485" s="266"/>
      <c r="H485" s="266"/>
      <c r="I485" s="266"/>
      <c r="J485" s="266"/>
      <c r="K485" s="266"/>
      <c r="L485" s="266"/>
      <c r="M485" s="266"/>
      <c r="N485" s="266"/>
      <c r="O485" s="266"/>
      <c r="P485" s="266"/>
      <c r="Q485" s="266"/>
      <c r="R485" s="266"/>
      <c r="S485" s="216"/>
      <c r="T485" s="216"/>
      <c r="U485" s="217"/>
      <c r="V485" s="216"/>
      <c r="W485" s="216"/>
      <c r="X485" s="216"/>
      <c r="Y485" s="216"/>
      <c r="Z485" s="216"/>
      <c r="AA485" s="216"/>
      <c r="AB485" s="216"/>
      <c r="AC485" s="216"/>
      <c r="AD485" s="216"/>
      <c r="AE485" s="216"/>
      <c r="AF485" s="216"/>
      <c r="AG485" s="216"/>
      <c r="AH485" s="216"/>
      <c r="AI485" s="216"/>
      <c r="AJ485" s="216"/>
      <c r="AK485" s="216"/>
      <c r="AL485" s="216"/>
      <c r="AM485" s="216"/>
      <c r="AN485" s="216"/>
    </row>
    <row r="486">
      <c r="B486" s="267"/>
      <c r="C486" s="266"/>
      <c r="D486" s="266"/>
      <c r="E486" s="266"/>
      <c r="F486" s="266"/>
      <c r="G486" s="266"/>
      <c r="H486" s="266"/>
      <c r="I486" s="266"/>
      <c r="J486" s="266"/>
      <c r="K486" s="266"/>
      <c r="L486" s="266"/>
      <c r="M486" s="266"/>
      <c r="N486" s="266"/>
      <c r="O486" s="266"/>
      <c r="P486" s="266"/>
      <c r="Q486" s="266"/>
      <c r="R486" s="266"/>
      <c r="S486" s="216"/>
      <c r="T486" s="216"/>
      <c r="U486" s="217"/>
      <c r="V486" s="216"/>
      <c r="W486" s="216"/>
      <c r="X486" s="216"/>
      <c r="Y486" s="216"/>
      <c r="Z486" s="216"/>
      <c r="AA486" s="216"/>
      <c r="AB486" s="216"/>
      <c r="AC486" s="216"/>
      <c r="AD486" s="216"/>
      <c r="AE486" s="216"/>
      <c r="AF486" s="216"/>
      <c r="AG486" s="216"/>
      <c r="AH486" s="216"/>
      <c r="AI486" s="216"/>
      <c r="AJ486" s="216"/>
      <c r="AK486" s="216"/>
      <c r="AL486" s="216"/>
      <c r="AM486" s="216"/>
      <c r="AN486" s="216"/>
    </row>
    <row r="487">
      <c r="B487" s="267"/>
      <c r="C487" s="266"/>
      <c r="D487" s="266"/>
      <c r="E487" s="266"/>
      <c r="F487" s="266"/>
      <c r="G487" s="266"/>
      <c r="H487" s="266"/>
      <c r="I487" s="266"/>
      <c r="J487" s="266"/>
      <c r="K487" s="266"/>
      <c r="L487" s="266"/>
      <c r="M487" s="266"/>
      <c r="N487" s="266"/>
      <c r="O487" s="266"/>
      <c r="P487" s="266"/>
      <c r="Q487" s="266"/>
      <c r="R487" s="266"/>
      <c r="S487" s="216"/>
      <c r="T487" s="216"/>
      <c r="U487" s="217"/>
      <c r="V487" s="216"/>
      <c r="W487" s="216"/>
      <c r="X487" s="216"/>
      <c r="Y487" s="216"/>
      <c r="Z487" s="216"/>
      <c r="AA487" s="216"/>
      <c r="AB487" s="216"/>
      <c r="AC487" s="216"/>
      <c r="AD487" s="216"/>
      <c r="AE487" s="216"/>
      <c r="AF487" s="216"/>
      <c r="AG487" s="216"/>
      <c r="AH487" s="216"/>
      <c r="AI487" s="216"/>
      <c r="AJ487" s="216"/>
      <c r="AK487" s="216"/>
      <c r="AL487" s="216"/>
      <c r="AM487" s="216"/>
      <c r="AN487" s="216"/>
    </row>
    <row r="488">
      <c r="B488" s="267"/>
      <c r="C488" s="266"/>
      <c r="D488" s="266"/>
      <c r="E488" s="266"/>
      <c r="F488" s="266"/>
      <c r="G488" s="266"/>
      <c r="H488" s="266"/>
      <c r="I488" s="266"/>
      <c r="J488" s="266"/>
      <c r="K488" s="266"/>
      <c r="L488" s="266"/>
      <c r="M488" s="266"/>
      <c r="N488" s="266"/>
      <c r="O488" s="266"/>
      <c r="P488" s="266"/>
      <c r="Q488" s="266"/>
      <c r="R488" s="266"/>
      <c r="S488" s="216"/>
      <c r="T488" s="216"/>
      <c r="U488" s="217"/>
      <c r="V488" s="216"/>
      <c r="W488" s="216"/>
      <c r="X488" s="216"/>
      <c r="Y488" s="216"/>
      <c r="Z488" s="216"/>
      <c r="AA488" s="216"/>
      <c r="AB488" s="216"/>
      <c r="AC488" s="216"/>
      <c r="AD488" s="216"/>
      <c r="AE488" s="216"/>
      <c r="AF488" s="216"/>
      <c r="AG488" s="216"/>
      <c r="AH488" s="216"/>
      <c r="AI488" s="216"/>
      <c r="AJ488" s="216"/>
      <c r="AK488" s="216"/>
      <c r="AL488" s="216"/>
      <c r="AM488" s="216"/>
      <c r="AN488" s="216"/>
    </row>
    <row r="489">
      <c r="B489" s="267"/>
      <c r="C489" s="266"/>
      <c r="D489" s="266"/>
      <c r="E489" s="266"/>
      <c r="F489" s="266"/>
      <c r="G489" s="266"/>
      <c r="H489" s="266"/>
      <c r="I489" s="266"/>
      <c r="J489" s="266"/>
      <c r="K489" s="266"/>
      <c r="L489" s="266"/>
      <c r="M489" s="266"/>
      <c r="N489" s="266"/>
      <c r="O489" s="266"/>
      <c r="P489" s="266"/>
      <c r="Q489" s="266"/>
      <c r="R489" s="266"/>
      <c r="S489" s="216"/>
      <c r="T489" s="216"/>
      <c r="U489" s="217"/>
      <c r="V489" s="216"/>
      <c r="W489" s="216"/>
      <c r="X489" s="216"/>
      <c r="Y489" s="216"/>
      <c r="Z489" s="216"/>
      <c r="AA489" s="216"/>
      <c r="AB489" s="216"/>
      <c r="AC489" s="216"/>
      <c r="AD489" s="216"/>
      <c r="AE489" s="216"/>
      <c r="AF489" s="216"/>
      <c r="AG489" s="216"/>
      <c r="AH489" s="216"/>
      <c r="AI489" s="216"/>
      <c r="AJ489" s="216"/>
      <c r="AK489" s="216"/>
      <c r="AL489" s="216"/>
      <c r="AM489" s="216"/>
      <c r="AN489" s="216"/>
    </row>
    <row r="490">
      <c r="B490" s="267"/>
      <c r="C490" s="266"/>
      <c r="D490" s="266"/>
      <c r="E490" s="266"/>
      <c r="F490" s="266"/>
      <c r="G490" s="266"/>
      <c r="H490" s="266"/>
      <c r="I490" s="266"/>
      <c r="J490" s="266"/>
      <c r="K490" s="266"/>
      <c r="L490" s="266"/>
      <c r="M490" s="266"/>
      <c r="N490" s="266"/>
      <c r="O490" s="266"/>
      <c r="P490" s="266"/>
      <c r="Q490" s="266"/>
      <c r="R490" s="266"/>
      <c r="S490" s="216"/>
      <c r="T490" s="216"/>
      <c r="U490" s="217"/>
      <c r="V490" s="216"/>
      <c r="W490" s="216"/>
      <c r="X490" s="216"/>
      <c r="Y490" s="216"/>
      <c r="Z490" s="216"/>
      <c r="AA490" s="216"/>
      <c r="AB490" s="216"/>
      <c r="AC490" s="216"/>
      <c r="AD490" s="216"/>
      <c r="AE490" s="216"/>
      <c r="AF490" s="216"/>
      <c r="AG490" s="216"/>
      <c r="AH490" s="216"/>
      <c r="AI490" s="216"/>
      <c r="AJ490" s="216"/>
      <c r="AK490" s="216"/>
      <c r="AL490" s="216"/>
      <c r="AM490" s="216"/>
      <c r="AN490" s="216"/>
    </row>
    <row r="491">
      <c r="B491" s="267"/>
      <c r="C491" s="266"/>
      <c r="D491" s="266"/>
      <c r="E491" s="266"/>
      <c r="F491" s="266"/>
      <c r="G491" s="266"/>
      <c r="H491" s="266"/>
      <c r="I491" s="266"/>
      <c r="J491" s="266"/>
      <c r="K491" s="266"/>
      <c r="L491" s="266"/>
      <c r="M491" s="266"/>
      <c r="N491" s="266"/>
      <c r="O491" s="266"/>
      <c r="P491" s="266"/>
      <c r="Q491" s="266"/>
      <c r="R491" s="266"/>
      <c r="S491" s="216"/>
      <c r="T491" s="216"/>
      <c r="U491" s="217"/>
      <c r="V491" s="216"/>
      <c r="W491" s="216"/>
      <c r="X491" s="216"/>
      <c r="Y491" s="216"/>
      <c r="Z491" s="216"/>
      <c r="AA491" s="216"/>
      <c r="AB491" s="216"/>
      <c r="AC491" s="216"/>
      <c r="AD491" s="216"/>
      <c r="AE491" s="216"/>
      <c r="AF491" s="216"/>
      <c r="AG491" s="216"/>
      <c r="AH491" s="216"/>
      <c r="AI491" s="216"/>
      <c r="AJ491" s="216"/>
      <c r="AK491" s="216"/>
      <c r="AL491" s="216"/>
      <c r="AM491" s="216"/>
      <c r="AN491" s="216"/>
    </row>
    <row r="492">
      <c r="B492" s="267"/>
      <c r="C492" s="266"/>
      <c r="D492" s="266"/>
      <c r="E492" s="266"/>
      <c r="F492" s="266"/>
      <c r="G492" s="266"/>
      <c r="H492" s="266"/>
      <c r="I492" s="266"/>
      <c r="J492" s="266"/>
      <c r="K492" s="266"/>
      <c r="L492" s="266"/>
      <c r="M492" s="266"/>
      <c r="N492" s="266"/>
      <c r="O492" s="266"/>
      <c r="P492" s="266"/>
      <c r="Q492" s="266"/>
      <c r="R492" s="266"/>
      <c r="S492" s="216"/>
      <c r="T492" s="216"/>
      <c r="U492" s="217"/>
      <c r="V492" s="216"/>
      <c r="W492" s="216"/>
      <c r="X492" s="216"/>
      <c r="Y492" s="216"/>
      <c r="Z492" s="216"/>
      <c r="AA492" s="216"/>
      <c r="AB492" s="216"/>
      <c r="AC492" s="216"/>
      <c r="AD492" s="216"/>
      <c r="AE492" s="216"/>
      <c r="AF492" s="216"/>
      <c r="AG492" s="216"/>
      <c r="AH492" s="216"/>
      <c r="AI492" s="216"/>
      <c r="AJ492" s="216"/>
      <c r="AK492" s="216"/>
      <c r="AL492" s="216"/>
      <c r="AM492" s="216"/>
      <c r="AN492" s="216"/>
    </row>
    <row r="493">
      <c r="B493" s="267"/>
      <c r="C493" s="266"/>
      <c r="D493" s="266"/>
      <c r="E493" s="266"/>
      <c r="F493" s="266"/>
      <c r="G493" s="266"/>
      <c r="H493" s="266"/>
      <c r="I493" s="266"/>
      <c r="J493" s="266"/>
      <c r="K493" s="266"/>
      <c r="L493" s="266"/>
      <c r="M493" s="266"/>
      <c r="N493" s="266"/>
      <c r="O493" s="266"/>
      <c r="P493" s="266"/>
      <c r="Q493" s="266"/>
      <c r="R493" s="266"/>
      <c r="S493" s="216"/>
      <c r="T493" s="216"/>
      <c r="U493" s="217"/>
      <c r="V493" s="216"/>
      <c r="W493" s="216"/>
      <c r="X493" s="216"/>
      <c r="Y493" s="216"/>
      <c r="Z493" s="216"/>
      <c r="AA493" s="216"/>
      <c r="AB493" s="216"/>
      <c r="AC493" s="216"/>
      <c r="AD493" s="216"/>
      <c r="AE493" s="216"/>
      <c r="AF493" s="216"/>
      <c r="AG493" s="216"/>
      <c r="AH493" s="216"/>
      <c r="AI493" s="216"/>
      <c r="AJ493" s="216"/>
      <c r="AK493" s="216"/>
      <c r="AL493" s="216"/>
      <c r="AM493" s="216"/>
      <c r="AN493" s="216"/>
    </row>
    <row r="494">
      <c r="B494" s="267"/>
      <c r="C494" s="266"/>
      <c r="D494" s="266"/>
      <c r="E494" s="266"/>
      <c r="F494" s="266"/>
      <c r="G494" s="266"/>
      <c r="H494" s="266"/>
      <c r="I494" s="266"/>
      <c r="J494" s="266"/>
      <c r="K494" s="266"/>
      <c r="L494" s="266"/>
      <c r="M494" s="266"/>
      <c r="N494" s="266"/>
      <c r="O494" s="266"/>
      <c r="P494" s="266"/>
      <c r="Q494" s="266"/>
      <c r="R494" s="266"/>
      <c r="S494" s="216"/>
      <c r="T494" s="216"/>
      <c r="U494" s="217"/>
      <c r="V494" s="216"/>
      <c r="W494" s="216"/>
      <c r="X494" s="216"/>
      <c r="Y494" s="216"/>
      <c r="Z494" s="216"/>
      <c r="AA494" s="216"/>
      <c r="AB494" s="216"/>
      <c r="AC494" s="216"/>
      <c r="AD494" s="216"/>
      <c r="AE494" s="216"/>
      <c r="AF494" s="216"/>
      <c r="AG494" s="216"/>
      <c r="AH494" s="216"/>
      <c r="AI494" s="216"/>
      <c r="AJ494" s="216"/>
      <c r="AK494" s="216"/>
      <c r="AL494" s="216"/>
      <c r="AM494" s="216"/>
      <c r="AN494" s="216"/>
    </row>
    <row r="495">
      <c r="B495" s="267"/>
      <c r="C495" s="266"/>
      <c r="D495" s="266"/>
      <c r="E495" s="266"/>
      <c r="F495" s="266"/>
      <c r="G495" s="266"/>
      <c r="H495" s="266"/>
      <c r="I495" s="266"/>
      <c r="J495" s="266"/>
      <c r="K495" s="266"/>
      <c r="L495" s="266"/>
      <c r="M495" s="266"/>
      <c r="N495" s="266"/>
      <c r="O495" s="266"/>
      <c r="P495" s="266"/>
      <c r="Q495" s="266"/>
      <c r="R495" s="266"/>
      <c r="S495" s="216"/>
      <c r="T495" s="216"/>
      <c r="U495" s="217"/>
      <c r="V495" s="216"/>
      <c r="W495" s="216"/>
      <c r="X495" s="216"/>
      <c r="Y495" s="216"/>
      <c r="Z495" s="216"/>
      <c r="AA495" s="216"/>
      <c r="AB495" s="216"/>
      <c r="AC495" s="216"/>
      <c r="AD495" s="216"/>
      <c r="AE495" s="216"/>
      <c r="AF495" s="216"/>
      <c r="AG495" s="216"/>
      <c r="AH495" s="216"/>
      <c r="AI495" s="216"/>
      <c r="AJ495" s="216"/>
      <c r="AK495" s="216"/>
      <c r="AL495" s="216"/>
      <c r="AM495" s="216"/>
      <c r="AN495" s="216"/>
    </row>
    <row r="496">
      <c r="B496" s="267"/>
      <c r="C496" s="266"/>
      <c r="D496" s="266"/>
      <c r="E496" s="266"/>
      <c r="F496" s="266"/>
      <c r="G496" s="266"/>
      <c r="H496" s="266"/>
      <c r="I496" s="266"/>
      <c r="J496" s="266"/>
      <c r="K496" s="266"/>
      <c r="L496" s="266"/>
      <c r="M496" s="266"/>
      <c r="N496" s="266"/>
      <c r="O496" s="266"/>
      <c r="P496" s="266"/>
      <c r="Q496" s="266"/>
      <c r="R496" s="266"/>
      <c r="S496" s="216"/>
      <c r="T496" s="216"/>
      <c r="U496" s="217"/>
      <c r="V496" s="216"/>
      <c r="W496" s="216"/>
      <c r="X496" s="216"/>
      <c r="Y496" s="216"/>
      <c r="Z496" s="216"/>
      <c r="AA496" s="216"/>
      <c r="AB496" s="216"/>
      <c r="AC496" s="216"/>
      <c r="AD496" s="216"/>
      <c r="AE496" s="216"/>
      <c r="AF496" s="216"/>
      <c r="AG496" s="216"/>
      <c r="AH496" s="216"/>
      <c r="AI496" s="216"/>
      <c r="AJ496" s="216"/>
      <c r="AK496" s="216"/>
      <c r="AL496" s="216"/>
      <c r="AM496" s="216"/>
      <c r="AN496" s="216"/>
    </row>
    <row r="497">
      <c r="B497" s="267"/>
      <c r="C497" s="266"/>
      <c r="D497" s="266"/>
      <c r="E497" s="266"/>
      <c r="F497" s="266"/>
      <c r="G497" s="266"/>
      <c r="H497" s="266"/>
      <c r="I497" s="266"/>
      <c r="J497" s="266"/>
      <c r="K497" s="266"/>
      <c r="L497" s="266"/>
      <c r="M497" s="266"/>
      <c r="N497" s="266"/>
      <c r="O497" s="266"/>
      <c r="P497" s="266"/>
      <c r="Q497" s="266"/>
      <c r="R497" s="266"/>
      <c r="S497" s="216"/>
      <c r="T497" s="216"/>
      <c r="U497" s="217"/>
      <c r="V497" s="216"/>
      <c r="W497" s="216"/>
      <c r="X497" s="216"/>
      <c r="Y497" s="216"/>
      <c r="Z497" s="216"/>
      <c r="AA497" s="216"/>
      <c r="AB497" s="216"/>
      <c r="AC497" s="216"/>
      <c r="AD497" s="216"/>
      <c r="AE497" s="216"/>
      <c r="AF497" s="216"/>
      <c r="AG497" s="216"/>
      <c r="AH497" s="216"/>
      <c r="AI497" s="216"/>
      <c r="AJ497" s="216"/>
      <c r="AK497" s="216"/>
      <c r="AL497" s="216"/>
      <c r="AM497" s="216"/>
      <c r="AN497" s="216"/>
    </row>
    <row r="498">
      <c r="B498" s="267"/>
      <c r="C498" s="266"/>
      <c r="D498" s="266"/>
      <c r="E498" s="266"/>
      <c r="F498" s="266"/>
      <c r="G498" s="266"/>
      <c r="H498" s="266"/>
      <c r="I498" s="266"/>
      <c r="J498" s="266"/>
      <c r="K498" s="266"/>
      <c r="L498" s="266"/>
      <c r="M498" s="266"/>
      <c r="N498" s="266"/>
      <c r="O498" s="266"/>
      <c r="P498" s="266"/>
      <c r="Q498" s="266"/>
      <c r="R498" s="266"/>
      <c r="S498" s="216"/>
      <c r="T498" s="216"/>
      <c r="U498" s="217"/>
      <c r="V498" s="216"/>
      <c r="W498" s="216"/>
      <c r="X498" s="216"/>
      <c r="Y498" s="216"/>
      <c r="Z498" s="216"/>
      <c r="AA498" s="216"/>
      <c r="AB498" s="216"/>
      <c r="AC498" s="216"/>
      <c r="AD498" s="216"/>
      <c r="AE498" s="216"/>
      <c r="AF498" s="216"/>
      <c r="AG498" s="216"/>
      <c r="AH498" s="216"/>
      <c r="AI498" s="216"/>
      <c r="AJ498" s="216"/>
      <c r="AK498" s="216"/>
      <c r="AL498" s="216"/>
      <c r="AM498" s="216"/>
      <c r="AN498" s="216"/>
    </row>
    <row r="499">
      <c r="B499" s="267"/>
      <c r="C499" s="266"/>
      <c r="D499" s="266"/>
      <c r="E499" s="266"/>
      <c r="F499" s="266"/>
      <c r="G499" s="266"/>
      <c r="H499" s="266"/>
      <c r="I499" s="266"/>
      <c r="J499" s="266"/>
      <c r="K499" s="266"/>
      <c r="L499" s="266"/>
      <c r="M499" s="266"/>
      <c r="N499" s="266"/>
      <c r="O499" s="266"/>
      <c r="P499" s="266"/>
      <c r="Q499" s="266"/>
      <c r="R499" s="266"/>
      <c r="S499" s="216"/>
      <c r="T499" s="216"/>
      <c r="U499" s="217"/>
      <c r="V499" s="216"/>
      <c r="W499" s="216"/>
      <c r="X499" s="216"/>
      <c r="Y499" s="216"/>
      <c r="Z499" s="216"/>
      <c r="AA499" s="216"/>
      <c r="AB499" s="216"/>
      <c r="AC499" s="216"/>
      <c r="AD499" s="216"/>
      <c r="AE499" s="216"/>
      <c r="AF499" s="216"/>
      <c r="AG499" s="216"/>
      <c r="AH499" s="216"/>
      <c r="AI499" s="216"/>
      <c r="AJ499" s="216"/>
      <c r="AK499" s="216"/>
      <c r="AL499" s="216"/>
      <c r="AM499" s="216"/>
      <c r="AN499" s="216"/>
    </row>
    <row r="500">
      <c r="B500" s="267"/>
      <c r="C500" s="266"/>
      <c r="D500" s="266"/>
      <c r="E500" s="266"/>
      <c r="F500" s="266"/>
      <c r="G500" s="266"/>
      <c r="H500" s="266"/>
      <c r="I500" s="266"/>
      <c r="J500" s="266"/>
      <c r="K500" s="266"/>
      <c r="L500" s="266"/>
      <c r="M500" s="266"/>
      <c r="N500" s="266"/>
      <c r="O500" s="266"/>
      <c r="P500" s="266"/>
      <c r="Q500" s="266"/>
      <c r="R500" s="266"/>
      <c r="S500" s="216"/>
      <c r="T500" s="216"/>
      <c r="U500" s="217"/>
      <c r="V500" s="216"/>
      <c r="W500" s="216"/>
      <c r="X500" s="216"/>
      <c r="Y500" s="216"/>
      <c r="Z500" s="216"/>
      <c r="AA500" s="216"/>
      <c r="AB500" s="216"/>
      <c r="AC500" s="216"/>
      <c r="AD500" s="216"/>
      <c r="AE500" s="216"/>
      <c r="AF500" s="216"/>
      <c r="AG500" s="216"/>
      <c r="AH500" s="216"/>
      <c r="AI500" s="216"/>
      <c r="AJ500" s="216"/>
      <c r="AK500" s="216"/>
      <c r="AL500" s="216"/>
      <c r="AM500" s="216"/>
      <c r="AN500" s="216"/>
    </row>
    <row r="501">
      <c r="B501" s="267"/>
      <c r="C501" s="266"/>
      <c r="D501" s="266"/>
      <c r="E501" s="266"/>
      <c r="F501" s="266"/>
      <c r="G501" s="266"/>
      <c r="H501" s="266"/>
      <c r="I501" s="266"/>
      <c r="J501" s="266"/>
      <c r="K501" s="266"/>
      <c r="L501" s="266"/>
      <c r="M501" s="266"/>
      <c r="N501" s="266"/>
      <c r="O501" s="266"/>
      <c r="P501" s="266"/>
      <c r="Q501" s="266"/>
      <c r="R501" s="266"/>
      <c r="S501" s="216"/>
      <c r="T501" s="216"/>
      <c r="U501" s="217"/>
      <c r="V501" s="216"/>
      <c r="W501" s="216"/>
      <c r="X501" s="216"/>
      <c r="Y501" s="216"/>
      <c r="Z501" s="216"/>
      <c r="AA501" s="216"/>
      <c r="AB501" s="216"/>
      <c r="AC501" s="216"/>
      <c r="AD501" s="216"/>
      <c r="AE501" s="216"/>
      <c r="AF501" s="216"/>
      <c r="AG501" s="216"/>
      <c r="AH501" s="216"/>
      <c r="AI501" s="216"/>
      <c r="AJ501" s="216"/>
      <c r="AK501" s="216"/>
      <c r="AL501" s="216"/>
      <c r="AM501" s="216"/>
      <c r="AN501" s="216"/>
    </row>
    <row r="502">
      <c r="B502" s="267"/>
      <c r="C502" s="266"/>
      <c r="D502" s="266"/>
      <c r="E502" s="266"/>
      <c r="F502" s="266"/>
      <c r="G502" s="266"/>
      <c r="H502" s="266"/>
      <c r="I502" s="266"/>
      <c r="J502" s="266"/>
      <c r="K502" s="266"/>
      <c r="L502" s="266"/>
      <c r="M502" s="266"/>
      <c r="N502" s="266"/>
      <c r="O502" s="266"/>
      <c r="P502" s="266"/>
      <c r="Q502" s="266"/>
      <c r="R502" s="266"/>
      <c r="S502" s="216"/>
      <c r="T502" s="216"/>
      <c r="U502" s="217"/>
      <c r="V502" s="216"/>
      <c r="W502" s="216"/>
      <c r="X502" s="216"/>
      <c r="Y502" s="216"/>
      <c r="Z502" s="216"/>
      <c r="AA502" s="216"/>
      <c r="AB502" s="216"/>
      <c r="AC502" s="216"/>
      <c r="AD502" s="216"/>
      <c r="AE502" s="216"/>
      <c r="AF502" s="216"/>
      <c r="AG502" s="216"/>
      <c r="AH502" s="216"/>
      <c r="AI502" s="216"/>
      <c r="AJ502" s="216"/>
      <c r="AK502" s="216"/>
      <c r="AL502" s="216"/>
      <c r="AM502" s="216"/>
      <c r="AN502" s="216"/>
    </row>
    <row r="503">
      <c r="B503" s="267"/>
      <c r="C503" s="266"/>
      <c r="D503" s="266"/>
      <c r="E503" s="266"/>
      <c r="F503" s="266"/>
      <c r="G503" s="266"/>
      <c r="H503" s="266"/>
      <c r="I503" s="266"/>
      <c r="J503" s="266"/>
      <c r="K503" s="266"/>
      <c r="L503" s="266"/>
      <c r="M503" s="266"/>
      <c r="N503" s="266"/>
      <c r="O503" s="266"/>
      <c r="P503" s="266"/>
      <c r="Q503" s="266"/>
      <c r="R503" s="266"/>
      <c r="S503" s="216"/>
      <c r="T503" s="216"/>
      <c r="U503" s="217"/>
      <c r="V503" s="216"/>
      <c r="W503" s="216"/>
      <c r="X503" s="216"/>
      <c r="Y503" s="216"/>
      <c r="Z503" s="216"/>
      <c r="AA503" s="216"/>
      <c r="AB503" s="216"/>
      <c r="AC503" s="216"/>
      <c r="AD503" s="216"/>
      <c r="AE503" s="216"/>
      <c r="AF503" s="216"/>
      <c r="AG503" s="216"/>
      <c r="AH503" s="216"/>
      <c r="AI503" s="216"/>
      <c r="AJ503" s="216"/>
      <c r="AK503" s="216"/>
      <c r="AL503" s="216"/>
      <c r="AM503" s="216"/>
      <c r="AN503" s="216"/>
    </row>
    <row r="504">
      <c r="B504" s="267"/>
      <c r="C504" s="266"/>
      <c r="D504" s="266"/>
      <c r="E504" s="266"/>
      <c r="F504" s="266"/>
      <c r="G504" s="266"/>
      <c r="H504" s="266"/>
      <c r="I504" s="266"/>
      <c r="J504" s="266"/>
      <c r="K504" s="266"/>
      <c r="L504" s="266"/>
      <c r="M504" s="266"/>
      <c r="N504" s="266"/>
      <c r="O504" s="266"/>
      <c r="P504" s="266"/>
      <c r="Q504" s="266"/>
      <c r="R504" s="266"/>
      <c r="S504" s="216"/>
      <c r="T504" s="216"/>
      <c r="U504" s="217"/>
      <c r="V504" s="216"/>
      <c r="W504" s="216"/>
      <c r="X504" s="216"/>
      <c r="Y504" s="216"/>
      <c r="Z504" s="216"/>
      <c r="AA504" s="216"/>
      <c r="AB504" s="216"/>
      <c r="AC504" s="216"/>
      <c r="AD504" s="216"/>
      <c r="AE504" s="216"/>
      <c r="AF504" s="216"/>
      <c r="AG504" s="216"/>
      <c r="AH504" s="216"/>
      <c r="AI504" s="216"/>
      <c r="AJ504" s="216"/>
      <c r="AK504" s="216"/>
      <c r="AL504" s="216"/>
      <c r="AM504" s="216"/>
      <c r="AN504" s="216"/>
    </row>
    <row r="505">
      <c r="B505" s="267"/>
      <c r="C505" s="266"/>
      <c r="D505" s="266"/>
      <c r="E505" s="266"/>
      <c r="F505" s="266"/>
      <c r="G505" s="266"/>
      <c r="H505" s="266"/>
      <c r="I505" s="266"/>
      <c r="J505" s="266"/>
      <c r="K505" s="266"/>
      <c r="L505" s="266"/>
      <c r="M505" s="266"/>
      <c r="N505" s="266"/>
      <c r="O505" s="266"/>
      <c r="P505" s="266"/>
      <c r="Q505" s="266"/>
      <c r="R505" s="266"/>
      <c r="S505" s="216"/>
      <c r="T505" s="216"/>
      <c r="U505" s="217"/>
      <c r="V505" s="216"/>
      <c r="W505" s="216"/>
      <c r="X505" s="216"/>
      <c r="Y505" s="216"/>
      <c r="Z505" s="216"/>
      <c r="AA505" s="216"/>
      <c r="AB505" s="216"/>
      <c r="AC505" s="216"/>
      <c r="AD505" s="216"/>
      <c r="AE505" s="216"/>
      <c r="AF505" s="216"/>
      <c r="AG505" s="216"/>
      <c r="AH505" s="216"/>
      <c r="AI505" s="216"/>
      <c r="AJ505" s="216"/>
      <c r="AK505" s="216"/>
      <c r="AL505" s="216"/>
      <c r="AM505" s="216"/>
      <c r="AN505" s="216"/>
    </row>
    <row r="506">
      <c r="B506" s="267"/>
      <c r="C506" s="266"/>
      <c r="D506" s="266"/>
      <c r="E506" s="266"/>
      <c r="F506" s="266"/>
      <c r="G506" s="266"/>
      <c r="H506" s="266"/>
      <c r="I506" s="266"/>
      <c r="J506" s="266"/>
      <c r="K506" s="266"/>
      <c r="L506" s="266"/>
      <c r="M506" s="266"/>
      <c r="N506" s="266"/>
      <c r="O506" s="266"/>
      <c r="P506" s="266"/>
      <c r="Q506" s="266"/>
      <c r="R506" s="266"/>
      <c r="S506" s="216"/>
      <c r="T506" s="216"/>
      <c r="U506" s="217"/>
      <c r="V506" s="216"/>
      <c r="W506" s="216"/>
      <c r="X506" s="216"/>
      <c r="Y506" s="216"/>
      <c r="Z506" s="216"/>
      <c r="AA506" s="216"/>
      <c r="AB506" s="216"/>
      <c r="AC506" s="216"/>
      <c r="AD506" s="216"/>
      <c r="AE506" s="216"/>
      <c r="AF506" s="216"/>
      <c r="AG506" s="216"/>
      <c r="AH506" s="216"/>
      <c r="AI506" s="216"/>
      <c r="AJ506" s="216"/>
      <c r="AK506" s="216"/>
      <c r="AL506" s="216"/>
      <c r="AM506" s="216"/>
      <c r="AN506" s="216"/>
    </row>
    <row r="507">
      <c r="B507" s="267"/>
      <c r="C507" s="266"/>
      <c r="D507" s="266"/>
      <c r="E507" s="266"/>
      <c r="F507" s="266"/>
      <c r="G507" s="266"/>
      <c r="H507" s="266"/>
      <c r="I507" s="266"/>
      <c r="J507" s="266"/>
      <c r="K507" s="266"/>
      <c r="L507" s="266"/>
      <c r="M507" s="266"/>
      <c r="N507" s="266"/>
      <c r="O507" s="266"/>
      <c r="P507" s="266"/>
      <c r="Q507" s="266"/>
      <c r="R507" s="266"/>
      <c r="S507" s="216"/>
      <c r="T507" s="216"/>
      <c r="U507" s="217"/>
      <c r="V507" s="216"/>
      <c r="W507" s="216"/>
      <c r="X507" s="216"/>
      <c r="Y507" s="216"/>
      <c r="Z507" s="216"/>
      <c r="AA507" s="216"/>
      <c r="AB507" s="216"/>
      <c r="AC507" s="216"/>
      <c r="AD507" s="216"/>
      <c r="AE507" s="216"/>
      <c r="AF507" s="216"/>
      <c r="AG507" s="216"/>
      <c r="AH507" s="216"/>
      <c r="AI507" s="216"/>
      <c r="AJ507" s="216"/>
      <c r="AK507" s="216"/>
      <c r="AL507" s="216"/>
      <c r="AM507" s="216"/>
      <c r="AN507" s="216"/>
    </row>
    <row r="508">
      <c r="B508" s="267"/>
      <c r="C508" s="266"/>
      <c r="D508" s="266"/>
      <c r="E508" s="266"/>
      <c r="F508" s="266"/>
      <c r="G508" s="266"/>
      <c r="H508" s="266"/>
      <c r="I508" s="266"/>
      <c r="J508" s="266"/>
      <c r="K508" s="266"/>
      <c r="L508" s="266"/>
      <c r="M508" s="266"/>
      <c r="N508" s="266"/>
      <c r="O508" s="266"/>
      <c r="P508" s="266"/>
      <c r="Q508" s="266"/>
      <c r="R508" s="266"/>
      <c r="S508" s="216"/>
      <c r="T508" s="216"/>
      <c r="U508" s="217"/>
      <c r="V508" s="216"/>
      <c r="W508" s="216"/>
      <c r="X508" s="216"/>
      <c r="Y508" s="216"/>
      <c r="Z508" s="216"/>
      <c r="AA508" s="216"/>
      <c r="AB508" s="216"/>
      <c r="AC508" s="216"/>
      <c r="AD508" s="216"/>
      <c r="AE508" s="216"/>
      <c r="AF508" s="216"/>
      <c r="AG508" s="216"/>
      <c r="AH508" s="216"/>
      <c r="AI508" s="216"/>
      <c r="AJ508" s="216"/>
      <c r="AK508" s="216"/>
      <c r="AL508" s="216"/>
      <c r="AM508" s="216"/>
      <c r="AN508" s="216"/>
    </row>
    <row r="509">
      <c r="B509" s="267"/>
      <c r="C509" s="266"/>
      <c r="D509" s="266"/>
      <c r="E509" s="266"/>
      <c r="F509" s="266"/>
      <c r="G509" s="266"/>
      <c r="H509" s="266"/>
      <c r="I509" s="266"/>
      <c r="J509" s="266"/>
      <c r="K509" s="266"/>
      <c r="L509" s="266"/>
      <c r="M509" s="266"/>
      <c r="N509" s="266"/>
      <c r="O509" s="266"/>
      <c r="P509" s="266"/>
      <c r="Q509" s="266"/>
      <c r="R509" s="266"/>
      <c r="S509" s="216"/>
      <c r="T509" s="216"/>
      <c r="U509" s="217"/>
      <c r="V509" s="216"/>
      <c r="W509" s="216"/>
      <c r="X509" s="216"/>
      <c r="Y509" s="216"/>
      <c r="Z509" s="216"/>
      <c r="AA509" s="216"/>
      <c r="AB509" s="216"/>
      <c r="AC509" s="216"/>
      <c r="AD509" s="216"/>
      <c r="AE509" s="216"/>
      <c r="AF509" s="216"/>
      <c r="AG509" s="216"/>
      <c r="AH509" s="216"/>
      <c r="AI509" s="216"/>
      <c r="AJ509" s="216"/>
      <c r="AK509" s="216"/>
      <c r="AL509" s="216"/>
      <c r="AM509" s="216"/>
      <c r="AN509" s="216"/>
    </row>
    <row r="510">
      <c r="B510" s="267"/>
      <c r="C510" s="266"/>
      <c r="D510" s="266"/>
      <c r="E510" s="266"/>
      <c r="F510" s="266"/>
      <c r="G510" s="266"/>
      <c r="H510" s="266"/>
      <c r="I510" s="266"/>
      <c r="J510" s="266"/>
      <c r="K510" s="266"/>
      <c r="L510" s="266"/>
      <c r="M510" s="266"/>
      <c r="N510" s="266"/>
      <c r="O510" s="266"/>
      <c r="P510" s="266"/>
      <c r="Q510" s="266"/>
      <c r="R510" s="266"/>
      <c r="S510" s="216"/>
      <c r="T510" s="216"/>
      <c r="U510" s="217"/>
      <c r="V510" s="216"/>
      <c r="W510" s="216"/>
      <c r="X510" s="216"/>
      <c r="Y510" s="216"/>
      <c r="Z510" s="216"/>
      <c r="AA510" s="216"/>
      <c r="AB510" s="216"/>
      <c r="AC510" s="216"/>
      <c r="AD510" s="216"/>
      <c r="AE510" s="216"/>
      <c r="AF510" s="216"/>
      <c r="AG510" s="216"/>
      <c r="AH510" s="216"/>
      <c r="AI510" s="216"/>
      <c r="AJ510" s="216"/>
      <c r="AK510" s="216"/>
      <c r="AL510" s="216"/>
      <c r="AM510" s="216"/>
      <c r="AN510" s="216"/>
    </row>
    <row r="511">
      <c r="B511" s="267"/>
      <c r="C511" s="266"/>
      <c r="D511" s="266"/>
      <c r="E511" s="266"/>
      <c r="F511" s="266"/>
      <c r="G511" s="266"/>
      <c r="H511" s="266"/>
      <c r="I511" s="266"/>
      <c r="J511" s="266"/>
      <c r="K511" s="266"/>
      <c r="L511" s="266"/>
      <c r="M511" s="266"/>
      <c r="N511" s="266"/>
      <c r="O511" s="266"/>
      <c r="P511" s="266"/>
      <c r="Q511" s="266"/>
      <c r="R511" s="266"/>
      <c r="S511" s="216"/>
      <c r="T511" s="216"/>
      <c r="U511" s="217"/>
      <c r="V511" s="216"/>
      <c r="W511" s="216"/>
      <c r="X511" s="216"/>
      <c r="Y511" s="216"/>
      <c r="Z511" s="216"/>
      <c r="AA511" s="216"/>
      <c r="AB511" s="216"/>
      <c r="AC511" s="216"/>
      <c r="AD511" s="216"/>
      <c r="AE511" s="216"/>
      <c r="AF511" s="216"/>
      <c r="AG511" s="216"/>
      <c r="AH511" s="216"/>
      <c r="AI511" s="216"/>
      <c r="AJ511" s="216"/>
      <c r="AK511" s="216"/>
      <c r="AL511" s="216"/>
      <c r="AM511" s="216"/>
      <c r="AN511" s="216"/>
    </row>
    <row r="512">
      <c r="B512" s="267"/>
      <c r="C512" s="266"/>
      <c r="D512" s="266"/>
      <c r="E512" s="266"/>
      <c r="F512" s="266"/>
      <c r="G512" s="266"/>
      <c r="H512" s="266"/>
      <c r="I512" s="266"/>
      <c r="J512" s="266"/>
      <c r="K512" s="266"/>
      <c r="L512" s="266"/>
      <c r="M512" s="266"/>
      <c r="N512" s="266"/>
      <c r="O512" s="266"/>
      <c r="P512" s="266"/>
      <c r="Q512" s="266"/>
      <c r="R512" s="266"/>
      <c r="S512" s="216"/>
      <c r="T512" s="216"/>
      <c r="U512" s="217"/>
      <c r="V512" s="216"/>
      <c r="W512" s="216"/>
      <c r="X512" s="216"/>
      <c r="Y512" s="216"/>
      <c r="Z512" s="216"/>
      <c r="AA512" s="216"/>
      <c r="AB512" s="216"/>
      <c r="AC512" s="216"/>
      <c r="AD512" s="216"/>
      <c r="AE512" s="216"/>
      <c r="AF512" s="216"/>
      <c r="AG512" s="216"/>
      <c r="AH512" s="216"/>
      <c r="AI512" s="216"/>
      <c r="AJ512" s="216"/>
      <c r="AK512" s="216"/>
      <c r="AL512" s="216"/>
      <c r="AM512" s="216"/>
      <c r="AN512" s="216"/>
    </row>
    <row r="513">
      <c r="B513" s="267"/>
      <c r="C513" s="266"/>
      <c r="D513" s="266"/>
      <c r="E513" s="266"/>
      <c r="F513" s="266"/>
      <c r="G513" s="266"/>
      <c r="H513" s="266"/>
      <c r="I513" s="266"/>
      <c r="J513" s="266"/>
      <c r="K513" s="266"/>
      <c r="L513" s="266"/>
      <c r="M513" s="266"/>
      <c r="N513" s="266"/>
      <c r="O513" s="266"/>
      <c r="P513" s="266"/>
      <c r="Q513" s="266"/>
      <c r="R513" s="266"/>
      <c r="S513" s="216"/>
      <c r="T513" s="216"/>
      <c r="U513" s="217"/>
      <c r="V513" s="216"/>
      <c r="W513" s="216"/>
      <c r="X513" s="216"/>
      <c r="Y513" s="216"/>
      <c r="Z513" s="216"/>
      <c r="AA513" s="216"/>
      <c r="AB513" s="216"/>
      <c r="AC513" s="216"/>
      <c r="AD513" s="216"/>
      <c r="AE513" s="216"/>
      <c r="AF513" s="216"/>
      <c r="AG513" s="216"/>
      <c r="AH513" s="216"/>
      <c r="AI513" s="216"/>
      <c r="AJ513" s="216"/>
      <c r="AK513" s="216"/>
      <c r="AL513" s="216"/>
      <c r="AM513" s="216"/>
      <c r="AN513" s="216"/>
    </row>
    <row r="514">
      <c r="B514" s="267"/>
      <c r="C514" s="266"/>
      <c r="D514" s="266"/>
      <c r="E514" s="266"/>
      <c r="F514" s="266"/>
      <c r="G514" s="266"/>
      <c r="H514" s="266"/>
      <c r="I514" s="266"/>
      <c r="J514" s="266"/>
      <c r="K514" s="266"/>
      <c r="L514" s="266"/>
      <c r="M514" s="266"/>
      <c r="N514" s="266"/>
      <c r="O514" s="266"/>
      <c r="P514" s="266"/>
      <c r="Q514" s="266"/>
      <c r="R514" s="266"/>
      <c r="S514" s="216"/>
      <c r="T514" s="216"/>
      <c r="U514" s="217"/>
      <c r="V514" s="216"/>
      <c r="W514" s="216"/>
      <c r="X514" s="216"/>
      <c r="Y514" s="216"/>
      <c r="Z514" s="216"/>
      <c r="AA514" s="216"/>
      <c r="AB514" s="216"/>
      <c r="AC514" s="216"/>
      <c r="AD514" s="216"/>
      <c r="AE514" s="216"/>
      <c r="AF514" s="216"/>
      <c r="AG514" s="216"/>
      <c r="AH514" s="216"/>
      <c r="AI514" s="216"/>
      <c r="AJ514" s="216"/>
      <c r="AK514" s="216"/>
      <c r="AL514" s="216"/>
      <c r="AM514" s="216"/>
      <c r="AN514" s="216"/>
    </row>
    <row r="515">
      <c r="B515" s="267"/>
      <c r="C515" s="266"/>
      <c r="D515" s="266"/>
      <c r="E515" s="266"/>
      <c r="F515" s="266"/>
      <c r="G515" s="266"/>
      <c r="H515" s="266"/>
      <c r="I515" s="266"/>
      <c r="J515" s="266"/>
      <c r="K515" s="266"/>
      <c r="L515" s="266"/>
      <c r="M515" s="266"/>
      <c r="N515" s="266"/>
      <c r="O515" s="266"/>
      <c r="P515" s="266"/>
      <c r="Q515" s="266"/>
      <c r="R515" s="266"/>
      <c r="S515" s="216"/>
      <c r="T515" s="216"/>
      <c r="U515" s="217"/>
      <c r="V515" s="216"/>
      <c r="W515" s="216"/>
      <c r="X515" s="216"/>
      <c r="Y515" s="216"/>
      <c r="Z515" s="216"/>
      <c r="AA515" s="216"/>
      <c r="AB515" s="216"/>
      <c r="AC515" s="216"/>
      <c r="AD515" s="216"/>
      <c r="AE515" s="216"/>
      <c r="AF515" s="216"/>
      <c r="AG515" s="216"/>
      <c r="AH515" s="216"/>
      <c r="AI515" s="216"/>
      <c r="AJ515" s="216"/>
      <c r="AK515" s="216"/>
      <c r="AL515" s="216"/>
      <c r="AM515" s="216"/>
      <c r="AN515" s="216"/>
    </row>
    <row r="516">
      <c r="B516" s="267"/>
      <c r="C516" s="266"/>
      <c r="D516" s="266"/>
      <c r="E516" s="266"/>
      <c r="F516" s="266"/>
      <c r="G516" s="266"/>
      <c r="H516" s="266"/>
      <c r="I516" s="266"/>
      <c r="J516" s="266"/>
      <c r="K516" s="266"/>
      <c r="L516" s="266"/>
      <c r="M516" s="266"/>
      <c r="N516" s="266"/>
      <c r="O516" s="266"/>
      <c r="P516" s="266"/>
      <c r="Q516" s="266"/>
      <c r="R516" s="266"/>
      <c r="S516" s="216"/>
      <c r="T516" s="216"/>
      <c r="U516" s="217"/>
      <c r="V516" s="216"/>
      <c r="W516" s="216"/>
      <c r="X516" s="216"/>
      <c r="Y516" s="216"/>
      <c r="Z516" s="216"/>
      <c r="AA516" s="216"/>
      <c r="AB516" s="216"/>
      <c r="AC516" s="216"/>
      <c r="AD516" s="216"/>
      <c r="AE516" s="216"/>
      <c r="AF516" s="216"/>
      <c r="AG516" s="216"/>
      <c r="AH516" s="216"/>
      <c r="AI516" s="216"/>
      <c r="AJ516" s="216"/>
      <c r="AK516" s="216"/>
      <c r="AL516" s="216"/>
      <c r="AM516" s="216"/>
      <c r="AN516" s="216"/>
    </row>
    <row r="517">
      <c r="B517" s="267"/>
      <c r="C517" s="266"/>
      <c r="D517" s="266"/>
      <c r="E517" s="266"/>
      <c r="F517" s="266"/>
      <c r="G517" s="266"/>
      <c r="H517" s="266"/>
      <c r="I517" s="266"/>
      <c r="J517" s="266"/>
      <c r="K517" s="266"/>
      <c r="L517" s="266"/>
      <c r="M517" s="266"/>
      <c r="N517" s="266"/>
      <c r="O517" s="266"/>
      <c r="P517" s="266"/>
      <c r="Q517" s="266"/>
      <c r="R517" s="266"/>
      <c r="S517" s="216"/>
      <c r="T517" s="216"/>
      <c r="U517" s="217"/>
      <c r="V517" s="216"/>
      <c r="W517" s="216"/>
      <c r="X517" s="216"/>
      <c r="Y517" s="216"/>
      <c r="Z517" s="216"/>
      <c r="AA517" s="216"/>
      <c r="AB517" s="216"/>
      <c r="AC517" s="216"/>
      <c r="AD517" s="216"/>
      <c r="AE517" s="216"/>
      <c r="AF517" s="216"/>
      <c r="AG517" s="216"/>
      <c r="AH517" s="216"/>
      <c r="AI517" s="216"/>
      <c r="AJ517" s="216"/>
      <c r="AK517" s="216"/>
      <c r="AL517" s="216"/>
      <c r="AM517" s="216"/>
      <c r="AN517" s="216"/>
    </row>
    <row r="518">
      <c r="B518" s="267"/>
      <c r="C518" s="266"/>
      <c r="D518" s="266"/>
      <c r="E518" s="266"/>
      <c r="F518" s="266"/>
      <c r="G518" s="266"/>
      <c r="H518" s="266"/>
      <c r="I518" s="266"/>
      <c r="J518" s="266"/>
      <c r="K518" s="266"/>
      <c r="L518" s="266"/>
      <c r="M518" s="266"/>
      <c r="N518" s="266"/>
      <c r="O518" s="266"/>
      <c r="P518" s="266"/>
      <c r="Q518" s="266"/>
      <c r="R518" s="266"/>
      <c r="S518" s="216"/>
      <c r="T518" s="216"/>
      <c r="U518" s="217"/>
      <c r="V518" s="216"/>
      <c r="W518" s="216"/>
      <c r="X518" s="216"/>
      <c r="Y518" s="216"/>
      <c r="Z518" s="216"/>
      <c r="AA518" s="216"/>
      <c r="AB518" s="216"/>
      <c r="AC518" s="216"/>
      <c r="AD518" s="216"/>
      <c r="AE518" s="216"/>
      <c r="AF518" s="216"/>
      <c r="AG518" s="216"/>
      <c r="AH518" s="216"/>
      <c r="AI518" s="216"/>
      <c r="AJ518" s="216"/>
      <c r="AK518" s="216"/>
      <c r="AL518" s="216"/>
      <c r="AM518" s="216"/>
      <c r="AN518" s="216"/>
    </row>
    <row r="519">
      <c r="B519" s="267"/>
      <c r="C519" s="266"/>
      <c r="D519" s="266"/>
      <c r="E519" s="266"/>
      <c r="F519" s="266"/>
      <c r="G519" s="266"/>
      <c r="H519" s="266"/>
      <c r="I519" s="266"/>
      <c r="J519" s="266"/>
      <c r="K519" s="266"/>
      <c r="L519" s="266"/>
      <c r="M519" s="266"/>
      <c r="N519" s="266"/>
      <c r="O519" s="266"/>
      <c r="P519" s="266"/>
      <c r="Q519" s="266"/>
      <c r="R519" s="266"/>
      <c r="S519" s="216"/>
      <c r="T519" s="216"/>
      <c r="U519" s="217"/>
      <c r="V519" s="216"/>
      <c r="W519" s="216"/>
      <c r="X519" s="216"/>
      <c r="Y519" s="216"/>
      <c r="Z519" s="216"/>
      <c r="AA519" s="216"/>
      <c r="AB519" s="216"/>
      <c r="AC519" s="216"/>
      <c r="AD519" s="216"/>
      <c r="AE519" s="216"/>
      <c r="AF519" s="216"/>
      <c r="AG519" s="216"/>
      <c r="AH519" s="216"/>
      <c r="AI519" s="216"/>
      <c r="AJ519" s="216"/>
      <c r="AK519" s="216"/>
      <c r="AL519" s="216"/>
      <c r="AM519" s="216"/>
      <c r="AN519" s="216"/>
    </row>
    <row r="520">
      <c r="B520" s="267"/>
      <c r="C520" s="266"/>
      <c r="D520" s="266"/>
      <c r="E520" s="266"/>
      <c r="F520" s="266"/>
      <c r="G520" s="266"/>
      <c r="H520" s="266"/>
      <c r="I520" s="266"/>
      <c r="J520" s="266"/>
      <c r="K520" s="266"/>
      <c r="L520" s="266"/>
      <c r="M520" s="266"/>
      <c r="N520" s="266"/>
      <c r="O520" s="266"/>
      <c r="P520" s="266"/>
      <c r="Q520" s="266"/>
      <c r="R520" s="266"/>
      <c r="S520" s="216"/>
      <c r="T520" s="216"/>
      <c r="U520" s="217"/>
      <c r="V520" s="216"/>
      <c r="W520" s="216"/>
      <c r="X520" s="216"/>
      <c r="Y520" s="216"/>
      <c r="Z520" s="216"/>
      <c r="AA520" s="216"/>
      <c r="AB520" s="216"/>
      <c r="AC520" s="216"/>
      <c r="AD520" s="216"/>
      <c r="AE520" s="216"/>
      <c r="AF520" s="216"/>
      <c r="AG520" s="216"/>
      <c r="AH520" s="216"/>
      <c r="AI520" s="216"/>
      <c r="AJ520" s="216"/>
      <c r="AK520" s="216"/>
      <c r="AL520" s="216"/>
      <c r="AM520" s="216"/>
      <c r="AN520" s="216"/>
    </row>
    <row r="521">
      <c r="B521" s="267"/>
      <c r="C521" s="266"/>
      <c r="D521" s="266"/>
      <c r="E521" s="266"/>
      <c r="F521" s="266"/>
      <c r="G521" s="266"/>
      <c r="H521" s="266"/>
      <c r="I521" s="266"/>
      <c r="J521" s="266"/>
      <c r="K521" s="266"/>
      <c r="L521" s="266"/>
      <c r="M521" s="266"/>
      <c r="N521" s="266"/>
      <c r="O521" s="266"/>
      <c r="P521" s="266"/>
      <c r="Q521" s="266"/>
      <c r="R521" s="266"/>
      <c r="S521" s="216"/>
      <c r="T521" s="216"/>
      <c r="U521" s="217"/>
      <c r="V521" s="216"/>
      <c r="W521" s="216"/>
      <c r="X521" s="216"/>
      <c r="Y521" s="216"/>
      <c r="Z521" s="216"/>
      <c r="AA521" s="216"/>
      <c r="AB521" s="216"/>
      <c r="AC521" s="216"/>
      <c r="AD521" s="216"/>
      <c r="AE521" s="216"/>
      <c r="AF521" s="216"/>
      <c r="AG521" s="216"/>
      <c r="AH521" s="216"/>
      <c r="AI521" s="216"/>
      <c r="AJ521" s="216"/>
      <c r="AK521" s="216"/>
      <c r="AL521" s="216"/>
      <c r="AM521" s="216"/>
      <c r="AN521" s="216"/>
    </row>
    <row r="522">
      <c r="B522" s="267"/>
      <c r="C522" s="266"/>
      <c r="D522" s="266"/>
      <c r="E522" s="266"/>
      <c r="F522" s="266"/>
      <c r="G522" s="266"/>
      <c r="H522" s="266"/>
      <c r="I522" s="266"/>
      <c r="J522" s="266"/>
      <c r="K522" s="266"/>
      <c r="L522" s="266"/>
      <c r="M522" s="266"/>
      <c r="N522" s="266"/>
      <c r="O522" s="266"/>
      <c r="P522" s="266"/>
      <c r="Q522" s="266"/>
      <c r="R522" s="266"/>
      <c r="S522" s="216"/>
      <c r="T522" s="216"/>
      <c r="U522" s="217"/>
      <c r="V522" s="216"/>
      <c r="W522" s="216"/>
      <c r="X522" s="216"/>
      <c r="Y522" s="216"/>
      <c r="Z522" s="216"/>
      <c r="AA522" s="216"/>
      <c r="AB522" s="216"/>
      <c r="AC522" s="216"/>
      <c r="AD522" s="216"/>
      <c r="AE522" s="216"/>
      <c r="AF522" s="216"/>
      <c r="AG522" s="216"/>
      <c r="AH522" s="216"/>
      <c r="AI522" s="216"/>
      <c r="AJ522" s="216"/>
      <c r="AK522" s="216"/>
      <c r="AL522" s="216"/>
      <c r="AM522" s="216"/>
      <c r="AN522" s="216"/>
    </row>
    <row r="523">
      <c r="B523" s="267"/>
      <c r="C523" s="266"/>
      <c r="D523" s="266"/>
      <c r="E523" s="266"/>
      <c r="F523" s="266"/>
      <c r="G523" s="266"/>
      <c r="H523" s="266"/>
      <c r="I523" s="266"/>
      <c r="J523" s="266"/>
      <c r="K523" s="266"/>
      <c r="L523" s="266"/>
      <c r="M523" s="266"/>
      <c r="N523" s="266"/>
      <c r="O523" s="266"/>
      <c r="P523" s="266"/>
      <c r="Q523" s="266"/>
      <c r="R523" s="266"/>
      <c r="S523" s="216"/>
      <c r="T523" s="216"/>
      <c r="U523" s="217"/>
      <c r="V523" s="216"/>
      <c r="W523" s="216"/>
      <c r="X523" s="216"/>
      <c r="Y523" s="216"/>
      <c r="Z523" s="216"/>
      <c r="AA523" s="216"/>
      <c r="AB523" s="216"/>
      <c r="AC523" s="216"/>
      <c r="AD523" s="216"/>
      <c r="AE523" s="216"/>
      <c r="AF523" s="216"/>
      <c r="AG523" s="216"/>
      <c r="AH523" s="216"/>
      <c r="AI523" s="216"/>
      <c r="AJ523" s="216"/>
      <c r="AK523" s="216"/>
      <c r="AL523" s="216"/>
      <c r="AM523" s="216"/>
      <c r="AN523" s="216"/>
    </row>
    <row r="524">
      <c r="B524" s="267"/>
      <c r="C524" s="266"/>
      <c r="D524" s="266"/>
      <c r="E524" s="266"/>
      <c r="F524" s="266"/>
      <c r="G524" s="266"/>
      <c r="H524" s="266"/>
      <c r="I524" s="266"/>
      <c r="J524" s="266"/>
      <c r="K524" s="266"/>
      <c r="L524" s="266"/>
      <c r="M524" s="266"/>
      <c r="N524" s="266"/>
      <c r="O524" s="266"/>
      <c r="P524" s="266"/>
      <c r="Q524" s="266"/>
      <c r="R524" s="266"/>
      <c r="S524" s="216"/>
      <c r="T524" s="216"/>
      <c r="U524" s="217"/>
      <c r="V524" s="216"/>
      <c r="W524" s="216"/>
      <c r="X524" s="216"/>
      <c r="Y524" s="216"/>
      <c r="Z524" s="216"/>
      <c r="AA524" s="216"/>
      <c r="AB524" s="216"/>
      <c r="AC524" s="216"/>
      <c r="AD524" s="216"/>
      <c r="AE524" s="216"/>
      <c r="AF524" s="216"/>
      <c r="AG524" s="216"/>
      <c r="AH524" s="216"/>
      <c r="AI524" s="216"/>
      <c r="AJ524" s="216"/>
      <c r="AK524" s="216"/>
      <c r="AL524" s="216"/>
      <c r="AM524" s="216"/>
      <c r="AN524" s="216"/>
    </row>
    <row r="525">
      <c r="B525" s="267"/>
      <c r="C525" s="266"/>
      <c r="D525" s="266"/>
      <c r="E525" s="266"/>
      <c r="F525" s="266"/>
      <c r="G525" s="266"/>
      <c r="H525" s="266"/>
      <c r="I525" s="266"/>
      <c r="J525" s="266"/>
      <c r="K525" s="266"/>
      <c r="L525" s="266"/>
      <c r="M525" s="266"/>
      <c r="N525" s="266"/>
      <c r="O525" s="266"/>
      <c r="P525" s="266"/>
      <c r="Q525" s="266"/>
      <c r="R525" s="266"/>
      <c r="S525" s="216"/>
      <c r="T525" s="216"/>
      <c r="U525" s="217"/>
      <c r="V525" s="216"/>
      <c r="W525" s="216"/>
      <c r="X525" s="216"/>
      <c r="Y525" s="216"/>
      <c r="Z525" s="216"/>
      <c r="AA525" s="216"/>
      <c r="AB525" s="216"/>
      <c r="AC525" s="216"/>
      <c r="AD525" s="216"/>
      <c r="AE525" s="216"/>
      <c r="AF525" s="216"/>
      <c r="AG525" s="216"/>
      <c r="AH525" s="216"/>
      <c r="AI525" s="216"/>
      <c r="AJ525" s="216"/>
      <c r="AK525" s="216"/>
      <c r="AL525" s="216"/>
      <c r="AM525" s="216"/>
      <c r="AN525" s="216"/>
    </row>
    <row r="526">
      <c r="B526" s="267"/>
      <c r="C526" s="266"/>
      <c r="D526" s="266"/>
      <c r="E526" s="266"/>
      <c r="F526" s="266"/>
      <c r="G526" s="266"/>
      <c r="H526" s="266"/>
      <c r="I526" s="266"/>
      <c r="J526" s="266"/>
      <c r="K526" s="266"/>
      <c r="L526" s="266"/>
      <c r="M526" s="266"/>
      <c r="N526" s="266"/>
      <c r="O526" s="266"/>
      <c r="P526" s="266"/>
      <c r="Q526" s="266"/>
      <c r="R526" s="266"/>
      <c r="S526" s="216"/>
      <c r="T526" s="216"/>
      <c r="U526" s="217"/>
      <c r="V526" s="216"/>
      <c r="W526" s="216"/>
      <c r="X526" s="216"/>
      <c r="Y526" s="216"/>
      <c r="Z526" s="216"/>
      <c r="AA526" s="216"/>
      <c r="AB526" s="216"/>
      <c r="AC526" s="216"/>
      <c r="AD526" s="216"/>
      <c r="AE526" s="216"/>
      <c r="AF526" s="216"/>
      <c r="AG526" s="216"/>
      <c r="AH526" s="216"/>
      <c r="AI526" s="216"/>
      <c r="AJ526" s="216"/>
      <c r="AK526" s="216"/>
      <c r="AL526" s="216"/>
      <c r="AM526" s="216"/>
      <c r="AN526" s="216"/>
    </row>
    <row r="527">
      <c r="B527" s="267"/>
      <c r="C527" s="266"/>
      <c r="D527" s="266"/>
      <c r="E527" s="266"/>
      <c r="F527" s="266"/>
      <c r="G527" s="266"/>
      <c r="H527" s="266"/>
      <c r="I527" s="266"/>
      <c r="J527" s="266"/>
      <c r="K527" s="266"/>
      <c r="L527" s="266"/>
      <c r="M527" s="266"/>
      <c r="N527" s="266"/>
      <c r="O527" s="266"/>
      <c r="P527" s="266"/>
      <c r="Q527" s="266"/>
      <c r="R527" s="266"/>
      <c r="S527" s="216"/>
      <c r="T527" s="216"/>
      <c r="U527" s="217"/>
      <c r="V527" s="216"/>
      <c r="W527" s="216"/>
      <c r="X527" s="216"/>
      <c r="Y527" s="216"/>
      <c r="Z527" s="216"/>
      <c r="AA527" s="216"/>
      <c r="AB527" s="216"/>
      <c r="AC527" s="216"/>
      <c r="AD527" s="216"/>
      <c r="AE527" s="216"/>
      <c r="AF527" s="216"/>
      <c r="AG527" s="216"/>
      <c r="AH527" s="216"/>
      <c r="AI527" s="216"/>
      <c r="AJ527" s="216"/>
      <c r="AK527" s="216"/>
      <c r="AL527" s="216"/>
      <c r="AM527" s="216"/>
      <c r="AN527" s="216"/>
    </row>
    <row r="528">
      <c r="B528" s="267"/>
      <c r="C528" s="266"/>
      <c r="D528" s="266"/>
      <c r="E528" s="266"/>
      <c r="F528" s="266"/>
      <c r="G528" s="266"/>
      <c r="H528" s="266"/>
      <c r="I528" s="266"/>
      <c r="J528" s="266"/>
      <c r="K528" s="266"/>
      <c r="L528" s="266"/>
      <c r="M528" s="266"/>
      <c r="N528" s="266"/>
      <c r="O528" s="266"/>
      <c r="P528" s="266"/>
      <c r="Q528" s="266"/>
      <c r="R528" s="266"/>
      <c r="S528" s="216"/>
      <c r="T528" s="216"/>
      <c r="U528" s="217"/>
      <c r="V528" s="216"/>
      <c r="W528" s="216"/>
      <c r="X528" s="216"/>
      <c r="Y528" s="216"/>
      <c r="Z528" s="216"/>
      <c r="AA528" s="216"/>
      <c r="AB528" s="216"/>
      <c r="AC528" s="216"/>
      <c r="AD528" s="216"/>
      <c r="AE528" s="216"/>
      <c r="AF528" s="216"/>
      <c r="AG528" s="216"/>
      <c r="AH528" s="216"/>
      <c r="AI528" s="216"/>
      <c r="AJ528" s="216"/>
      <c r="AK528" s="216"/>
      <c r="AL528" s="216"/>
      <c r="AM528" s="216"/>
      <c r="AN528" s="216"/>
    </row>
    <row r="529">
      <c r="B529" s="267"/>
      <c r="C529" s="266"/>
      <c r="D529" s="266"/>
      <c r="E529" s="266"/>
      <c r="F529" s="266"/>
      <c r="G529" s="266"/>
      <c r="H529" s="266"/>
      <c r="I529" s="266"/>
      <c r="J529" s="266"/>
      <c r="K529" s="266"/>
      <c r="L529" s="266"/>
      <c r="M529" s="266"/>
      <c r="N529" s="266"/>
      <c r="O529" s="266"/>
      <c r="P529" s="266"/>
      <c r="Q529" s="266"/>
      <c r="R529" s="266"/>
      <c r="S529" s="216"/>
      <c r="T529" s="216"/>
      <c r="U529" s="217"/>
      <c r="V529" s="216"/>
      <c r="W529" s="216"/>
      <c r="X529" s="216"/>
      <c r="Y529" s="216"/>
      <c r="Z529" s="216"/>
      <c r="AA529" s="216"/>
      <c r="AB529" s="216"/>
      <c r="AC529" s="216"/>
      <c r="AD529" s="216"/>
      <c r="AE529" s="216"/>
      <c r="AF529" s="216"/>
      <c r="AG529" s="216"/>
      <c r="AH529" s="216"/>
      <c r="AI529" s="216"/>
      <c r="AJ529" s="216"/>
      <c r="AK529" s="216"/>
      <c r="AL529" s="216"/>
      <c r="AM529" s="216"/>
      <c r="AN529" s="216"/>
    </row>
    <row r="530">
      <c r="B530" s="267"/>
      <c r="C530" s="266"/>
      <c r="D530" s="266"/>
      <c r="E530" s="266"/>
      <c r="F530" s="266"/>
      <c r="G530" s="266"/>
      <c r="H530" s="266"/>
      <c r="I530" s="266"/>
      <c r="J530" s="266"/>
      <c r="K530" s="266"/>
      <c r="L530" s="266"/>
      <c r="M530" s="266"/>
      <c r="N530" s="266"/>
      <c r="O530" s="266"/>
      <c r="P530" s="266"/>
      <c r="Q530" s="266"/>
      <c r="R530" s="266"/>
      <c r="S530" s="216"/>
      <c r="T530" s="216"/>
      <c r="U530" s="217"/>
      <c r="V530" s="216"/>
      <c r="W530" s="216"/>
      <c r="X530" s="216"/>
      <c r="Y530" s="216"/>
      <c r="Z530" s="216"/>
      <c r="AA530" s="216"/>
      <c r="AB530" s="216"/>
      <c r="AC530" s="216"/>
      <c r="AD530" s="216"/>
      <c r="AE530" s="216"/>
      <c r="AF530" s="216"/>
      <c r="AG530" s="216"/>
      <c r="AH530" s="216"/>
      <c r="AI530" s="216"/>
      <c r="AJ530" s="216"/>
      <c r="AK530" s="216"/>
      <c r="AL530" s="216"/>
      <c r="AM530" s="216"/>
      <c r="AN530" s="216"/>
    </row>
    <row r="531">
      <c r="B531" s="267"/>
      <c r="C531" s="266"/>
      <c r="D531" s="266"/>
      <c r="E531" s="266"/>
      <c r="F531" s="266"/>
      <c r="G531" s="266"/>
      <c r="H531" s="266"/>
      <c r="I531" s="266"/>
      <c r="J531" s="266"/>
      <c r="K531" s="266"/>
      <c r="L531" s="266"/>
      <c r="M531" s="266"/>
      <c r="N531" s="266"/>
      <c r="O531" s="266"/>
      <c r="P531" s="266"/>
      <c r="Q531" s="266"/>
      <c r="R531" s="266"/>
      <c r="S531" s="216"/>
      <c r="T531" s="216"/>
      <c r="U531" s="217"/>
      <c r="V531" s="216"/>
      <c r="W531" s="216"/>
      <c r="X531" s="216"/>
      <c r="Y531" s="216"/>
      <c r="Z531" s="216"/>
      <c r="AA531" s="216"/>
      <c r="AB531" s="216"/>
      <c r="AC531" s="216"/>
      <c r="AD531" s="216"/>
      <c r="AE531" s="216"/>
      <c r="AF531" s="216"/>
      <c r="AG531" s="216"/>
      <c r="AH531" s="216"/>
      <c r="AI531" s="216"/>
      <c r="AJ531" s="216"/>
      <c r="AK531" s="216"/>
      <c r="AL531" s="216"/>
      <c r="AM531" s="216"/>
      <c r="AN531" s="216"/>
    </row>
    <row r="532">
      <c r="B532" s="267"/>
      <c r="C532" s="266"/>
      <c r="D532" s="266"/>
      <c r="E532" s="266"/>
      <c r="F532" s="266"/>
      <c r="G532" s="266"/>
      <c r="H532" s="266"/>
      <c r="I532" s="266"/>
      <c r="J532" s="266"/>
      <c r="K532" s="266"/>
      <c r="L532" s="266"/>
      <c r="M532" s="266"/>
      <c r="N532" s="266"/>
      <c r="O532" s="266"/>
      <c r="P532" s="266"/>
      <c r="Q532" s="266"/>
      <c r="R532" s="266"/>
      <c r="S532" s="216"/>
      <c r="T532" s="216"/>
      <c r="U532" s="217"/>
      <c r="V532" s="216"/>
      <c r="W532" s="216"/>
      <c r="X532" s="216"/>
      <c r="Y532" s="216"/>
      <c r="Z532" s="216"/>
      <c r="AA532" s="216"/>
      <c r="AB532" s="216"/>
      <c r="AC532" s="216"/>
      <c r="AD532" s="216"/>
      <c r="AE532" s="216"/>
      <c r="AF532" s="216"/>
      <c r="AG532" s="216"/>
      <c r="AH532" s="216"/>
      <c r="AI532" s="216"/>
      <c r="AJ532" s="216"/>
      <c r="AK532" s="216"/>
      <c r="AL532" s="216"/>
      <c r="AM532" s="216"/>
      <c r="AN532" s="216"/>
    </row>
    <row r="533">
      <c r="B533" s="267"/>
      <c r="C533" s="266"/>
      <c r="D533" s="266"/>
      <c r="E533" s="266"/>
      <c r="F533" s="266"/>
      <c r="G533" s="266"/>
      <c r="H533" s="266"/>
      <c r="I533" s="266"/>
      <c r="J533" s="266"/>
      <c r="K533" s="266"/>
      <c r="L533" s="266"/>
      <c r="M533" s="266"/>
      <c r="N533" s="266"/>
      <c r="O533" s="266"/>
      <c r="P533" s="266"/>
      <c r="Q533" s="266"/>
      <c r="R533" s="266"/>
      <c r="S533" s="216"/>
      <c r="T533" s="216"/>
      <c r="U533" s="217"/>
      <c r="V533" s="216"/>
      <c r="W533" s="216"/>
      <c r="X533" s="216"/>
      <c r="Y533" s="216"/>
      <c r="Z533" s="216"/>
      <c r="AA533" s="216"/>
      <c r="AB533" s="216"/>
      <c r="AC533" s="216"/>
      <c r="AD533" s="216"/>
      <c r="AE533" s="216"/>
      <c r="AF533" s="216"/>
      <c r="AG533" s="216"/>
      <c r="AH533" s="216"/>
      <c r="AI533" s="216"/>
      <c r="AJ533" s="216"/>
      <c r="AK533" s="216"/>
      <c r="AL533" s="216"/>
      <c r="AM533" s="216"/>
      <c r="AN533" s="216"/>
    </row>
    <row r="534">
      <c r="B534" s="267"/>
      <c r="C534" s="266"/>
      <c r="D534" s="266"/>
      <c r="E534" s="266"/>
      <c r="F534" s="266"/>
      <c r="G534" s="266"/>
      <c r="H534" s="266"/>
      <c r="I534" s="266"/>
      <c r="J534" s="266"/>
      <c r="K534" s="266"/>
      <c r="L534" s="266"/>
      <c r="M534" s="266"/>
      <c r="N534" s="266"/>
      <c r="O534" s="266"/>
      <c r="P534" s="266"/>
      <c r="Q534" s="266"/>
      <c r="R534" s="266"/>
      <c r="S534" s="216"/>
      <c r="T534" s="216"/>
      <c r="U534" s="217"/>
      <c r="V534" s="216"/>
      <c r="W534" s="216"/>
      <c r="X534" s="216"/>
      <c r="Y534" s="216"/>
      <c r="Z534" s="216"/>
      <c r="AA534" s="216"/>
      <c r="AB534" s="216"/>
      <c r="AC534" s="216"/>
      <c r="AD534" s="216"/>
      <c r="AE534" s="216"/>
      <c r="AF534" s="216"/>
      <c r="AG534" s="216"/>
      <c r="AH534" s="216"/>
      <c r="AI534" s="216"/>
      <c r="AJ534" s="216"/>
      <c r="AK534" s="216"/>
      <c r="AL534" s="216"/>
      <c r="AM534" s="216"/>
      <c r="AN534" s="216"/>
    </row>
    <row r="535">
      <c r="B535" s="267"/>
      <c r="C535" s="266"/>
      <c r="D535" s="266"/>
      <c r="E535" s="266"/>
      <c r="F535" s="266"/>
      <c r="G535" s="266"/>
      <c r="H535" s="266"/>
      <c r="I535" s="266"/>
      <c r="J535" s="266"/>
      <c r="K535" s="266"/>
      <c r="L535" s="266"/>
      <c r="M535" s="266"/>
      <c r="N535" s="266"/>
      <c r="O535" s="266"/>
      <c r="P535" s="266"/>
      <c r="Q535" s="266"/>
      <c r="R535" s="266"/>
      <c r="S535" s="216"/>
      <c r="T535" s="216"/>
      <c r="U535" s="217"/>
      <c r="V535" s="216"/>
      <c r="W535" s="216"/>
      <c r="X535" s="216"/>
      <c r="Y535" s="216"/>
      <c r="Z535" s="216"/>
      <c r="AA535" s="216"/>
      <c r="AB535" s="216"/>
      <c r="AC535" s="216"/>
      <c r="AD535" s="216"/>
      <c r="AE535" s="216"/>
      <c r="AF535" s="216"/>
      <c r="AG535" s="216"/>
      <c r="AH535" s="216"/>
      <c r="AI535" s="216"/>
      <c r="AJ535" s="216"/>
      <c r="AK535" s="216"/>
      <c r="AL535" s="216"/>
      <c r="AM535" s="216"/>
      <c r="AN535" s="216"/>
    </row>
    <row r="536">
      <c r="B536" s="267"/>
      <c r="C536" s="266"/>
      <c r="D536" s="266"/>
      <c r="E536" s="266"/>
      <c r="F536" s="266"/>
      <c r="G536" s="266"/>
      <c r="H536" s="266"/>
      <c r="I536" s="266"/>
      <c r="J536" s="266"/>
      <c r="K536" s="266"/>
      <c r="L536" s="266"/>
      <c r="M536" s="266"/>
      <c r="N536" s="266"/>
      <c r="O536" s="266"/>
      <c r="P536" s="266"/>
      <c r="Q536" s="266"/>
      <c r="R536" s="266"/>
      <c r="S536" s="216"/>
      <c r="T536" s="216"/>
      <c r="U536" s="217"/>
      <c r="V536" s="216"/>
      <c r="W536" s="216"/>
      <c r="X536" s="216"/>
      <c r="Y536" s="216"/>
      <c r="Z536" s="216"/>
      <c r="AA536" s="216"/>
      <c r="AB536" s="216"/>
      <c r="AC536" s="216"/>
      <c r="AD536" s="216"/>
      <c r="AE536" s="216"/>
      <c r="AF536" s="216"/>
      <c r="AG536" s="216"/>
      <c r="AH536" s="216"/>
      <c r="AI536" s="216"/>
      <c r="AJ536" s="216"/>
      <c r="AK536" s="216"/>
      <c r="AL536" s="216"/>
      <c r="AM536" s="216"/>
      <c r="AN536" s="216"/>
    </row>
    <row r="537">
      <c r="B537" s="267"/>
      <c r="C537" s="266"/>
      <c r="D537" s="266"/>
      <c r="E537" s="266"/>
      <c r="F537" s="266"/>
      <c r="G537" s="266"/>
      <c r="H537" s="266"/>
      <c r="I537" s="266"/>
      <c r="J537" s="266"/>
      <c r="K537" s="266"/>
      <c r="L537" s="266"/>
      <c r="M537" s="266"/>
      <c r="N537" s="266"/>
      <c r="O537" s="266"/>
      <c r="P537" s="266"/>
      <c r="Q537" s="266"/>
      <c r="R537" s="266"/>
      <c r="S537" s="216"/>
      <c r="T537" s="216"/>
      <c r="U537" s="217"/>
      <c r="V537" s="216"/>
      <c r="W537" s="216"/>
      <c r="X537" s="216"/>
      <c r="Y537" s="216"/>
      <c r="Z537" s="216"/>
      <c r="AA537" s="216"/>
      <c r="AB537" s="216"/>
      <c r="AC537" s="216"/>
      <c r="AD537" s="216"/>
      <c r="AE537" s="216"/>
      <c r="AF537" s="216"/>
      <c r="AG537" s="216"/>
      <c r="AH537" s="216"/>
      <c r="AI537" s="216"/>
      <c r="AJ537" s="216"/>
      <c r="AK537" s="216"/>
      <c r="AL537" s="216"/>
      <c r="AM537" s="216"/>
      <c r="AN537" s="216"/>
    </row>
    <row r="538">
      <c r="B538" s="267"/>
      <c r="C538" s="266"/>
      <c r="D538" s="266"/>
      <c r="E538" s="266"/>
      <c r="F538" s="266"/>
      <c r="G538" s="266"/>
      <c r="H538" s="266"/>
      <c r="I538" s="266"/>
      <c r="J538" s="266"/>
      <c r="K538" s="266"/>
      <c r="L538" s="266"/>
      <c r="M538" s="266"/>
      <c r="N538" s="266"/>
      <c r="O538" s="266"/>
      <c r="P538" s="266"/>
      <c r="Q538" s="266"/>
      <c r="R538" s="266"/>
      <c r="S538" s="216"/>
      <c r="T538" s="216"/>
      <c r="U538" s="217"/>
      <c r="V538" s="216"/>
      <c r="W538" s="216"/>
      <c r="X538" s="216"/>
      <c r="Y538" s="216"/>
      <c r="Z538" s="216"/>
      <c r="AA538" s="216"/>
      <c r="AB538" s="216"/>
      <c r="AC538" s="216"/>
      <c r="AD538" s="216"/>
      <c r="AE538" s="216"/>
      <c r="AF538" s="216"/>
      <c r="AG538" s="216"/>
      <c r="AH538" s="216"/>
      <c r="AI538" s="216"/>
      <c r="AJ538" s="216"/>
      <c r="AK538" s="216"/>
      <c r="AL538" s="216"/>
      <c r="AM538" s="216"/>
      <c r="AN538" s="216"/>
    </row>
    <row r="539">
      <c r="B539" s="267"/>
      <c r="C539" s="266"/>
      <c r="D539" s="266"/>
      <c r="E539" s="266"/>
      <c r="F539" s="266"/>
      <c r="G539" s="266"/>
      <c r="H539" s="266"/>
      <c r="I539" s="266"/>
      <c r="J539" s="266"/>
      <c r="K539" s="266"/>
      <c r="L539" s="266"/>
      <c r="M539" s="266"/>
      <c r="N539" s="266"/>
      <c r="O539" s="266"/>
      <c r="P539" s="266"/>
      <c r="Q539" s="266"/>
      <c r="R539" s="266"/>
      <c r="S539" s="216"/>
      <c r="T539" s="216"/>
      <c r="U539" s="217"/>
      <c r="V539" s="216"/>
      <c r="W539" s="216"/>
      <c r="X539" s="216"/>
      <c r="Y539" s="216"/>
      <c r="Z539" s="216"/>
      <c r="AA539" s="216"/>
      <c r="AB539" s="216"/>
      <c r="AC539" s="216"/>
      <c r="AD539" s="216"/>
      <c r="AE539" s="216"/>
      <c r="AF539" s="216"/>
      <c r="AG539" s="216"/>
      <c r="AH539" s="216"/>
      <c r="AI539" s="216"/>
      <c r="AJ539" s="216"/>
      <c r="AK539" s="216"/>
      <c r="AL539" s="216"/>
      <c r="AM539" s="216"/>
      <c r="AN539" s="216"/>
    </row>
    <row r="540">
      <c r="B540" s="267"/>
      <c r="C540" s="266"/>
      <c r="D540" s="266"/>
      <c r="E540" s="266"/>
      <c r="F540" s="266"/>
      <c r="G540" s="266"/>
      <c r="H540" s="266"/>
      <c r="I540" s="266"/>
      <c r="J540" s="266"/>
      <c r="K540" s="266"/>
      <c r="L540" s="266"/>
      <c r="M540" s="266"/>
      <c r="N540" s="266"/>
      <c r="O540" s="266"/>
      <c r="P540" s="266"/>
      <c r="Q540" s="266"/>
      <c r="R540" s="266"/>
      <c r="S540" s="216"/>
      <c r="T540" s="216"/>
      <c r="U540" s="217"/>
      <c r="V540" s="216"/>
      <c r="W540" s="216"/>
      <c r="X540" s="216"/>
      <c r="Y540" s="216"/>
      <c r="Z540" s="216"/>
      <c r="AA540" s="216"/>
      <c r="AB540" s="216"/>
      <c r="AC540" s="216"/>
      <c r="AD540" s="216"/>
      <c r="AE540" s="216"/>
      <c r="AF540" s="216"/>
      <c r="AG540" s="216"/>
      <c r="AH540" s="216"/>
      <c r="AI540" s="216"/>
      <c r="AJ540" s="216"/>
      <c r="AK540" s="216"/>
      <c r="AL540" s="216"/>
      <c r="AM540" s="216"/>
      <c r="AN540" s="216"/>
    </row>
    <row r="541">
      <c r="B541" s="267"/>
      <c r="C541" s="266"/>
      <c r="D541" s="266"/>
      <c r="E541" s="266"/>
      <c r="F541" s="266"/>
      <c r="G541" s="266"/>
      <c r="H541" s="266"/>
      <c r="I541" s="266"/>
      <c r="J541" s="266"/>
      <c r="K541" s="266"/>
      <c r="L541" s="266"/>
      <c r="M541" s="266"/>
      <c r="N541" s="266"/>
      <c r="O541" s="266"/>
      <c r="P541" s="266"/>
      <c r="Q541" s="266"/>
      <c r="R541" s="266"/>
      <c r="S541" s="216"/>
      <c r="T541" s="216"/>
      <c r="U541" s="217"/>
      <c r="V541" s="216"/>
      <c r="W541" s="216"/>
      <c r="X541" s="216"/>
      <c r="Y541" s="216"/>
      <c r="Z541" s="216"/>
      <c r="AA541" s="216"/>
      <c r="AB541" s="216"/>
      <c r="AC541" s="216"/>
      <c r="AD541" s="216"/>
      <c r="AE541" s="216"/>
      <c r="AF541" s="216"/>
      <c r="AG541" s="216"/>
      <c r="AH541" s="216"/>
      <c r="AI541" s="216"/>
      <c r="AJ541" s="216"/>
      <c r="AK541" s="216"/>
      <c r="AL541" s="216"/>
      <c r="AM541" s="216"/>
      <c r="AN541" s="216"/>
    </row>
    <row r="542">
      <c r="B542" s="267"/>
      <c r="C542" s="266"/>
      <c r="D542" s="266"/>
      <c r="E542" s="266"/>
      <c r="F542" s="266"/>
      <c r="G542" s="266"/>
      <c r="H542" s="266"/>
      <c r="I542" s="266"/>
      <c r="J542" s="266"/>
      <c r="K542" s="266"/>
      <c r="L542" s="266"/>
      <c r="M542" s="266"/>
      <c r="N542" s="266"/>
      <c r="O542" s="266"/>
      <c r="P542" s="266"/>
      <c r="Q542" s="266"/>
      <c r="R542" s="266"/>
      <c r="S542" s="216"/>
      <c r="T542" s="216"/>
      <c r="U542" s="217"/>
      <c r="V542" s="216"/>
      <c r="W542" s="216"/>
      <c r="X542" s="216"/>
      <c r="Y542" s="216"/>
      <c r="Z542" s="216"/>
      <c r="AA542" s="216"/>
      <c r="AB542" s="216"/>
      <c r="AC542" s="216"/>
      <c r="AD542" s="216"/>
      <c r="AE542" s="216"/>
      <c r="AF542" s="216"/>
      <c r="AG542" s="216"/>
      <c r="AH542" s="216"/>
      <c r="AI542" s="216"/>
      <c r="AJ542" s="216"/>
      <c r="AK542" s="216"/>
      <c r="AL542" s="216"/>
      <c r="AM542" s="216"/>
      <c r="AN542" s="216"/>
    </row>
    <row r="543">
      <c r="B543" s="267"/>
      <c r="C543" s="266"/>
      <c r="D543" s="266"/>
      <c r="E543" s="266"/>
      <c r="F543" s="266"/>
      <c r="G543" s="266"/>
      <c r="H543" s="266"/>
      <c r="I543" s="266"/>
      <c r="J543" s="266"/>
      <c r="K543" s="266"/>
      <c r="L543" s="266"/>
      <c r="M543" s="266"/>
      <c r="N543" s="266"/>
      <c r="O543" s="266"/>
      <c r="P543" s="266"/>
      <c r="Q543" s="266"/>
      <c r="R543" s="266"/>
      <c r="S543" s="216"/>
      <c r="T543" s="216"/>
      <c r="U543" s="217"/>
      <c r="V543" s="216"/>
      <c r="W543" s="216"/>
      <c r="X543" s="216"/>
      <c r="Y543" s="216"/>
      <c r="Z543" s="216"/>
      <c r="AA543" s="216"/>
      <c r="AB543" s="216"/>
      <c r="AC543" s="216"/>
      <c r="AD543" s="216"/>
      <c r="AE543" s="216"/>
      <c r="AF543" s="216"/>
      <c r="AG543" s="216"/>
      <c r="AH543" s="216"/>
      <c r="AI543" s="216"/>
      <c r="AJ543" s="216"/>
      <c r="AK543" s="216"/>
      <c r="AL543" s="216"/>
      <c r="AM543" s="216"/>
      <c r="AN543" s="216"/>
    </row>
    <row r="544">
      <c r="B544" s="267"/>
      <c r="C544" s="266"/>
      <c r="D544" s="266"/>
      <c r="E544" s="266"/>
      <c r="F544" s="266"/>
      <c r="G544" s="266"/>
      <c r="H544" s="266"/>
      <c r="I544" s="266"/>
      <c r="J544" s="266"/>
      <c r="K544" s="266"/>
      <c r="L544" s="266"/>
      <c r="M544" s="266"/>
      <c r="N544" s="266"/>
      <c r="O544" s="266"/>
      <c r="P544" s="266"/>
      <c r="Q544" s="266"/>
      <c r="R544" s="266"/>
      <c r="S544" s="216"/>
      <c r="T544" s="216"/>
      <c r="U544" s="217"/>
      <c r="V544" s="216"/>
      <c r="W544" s="216"/>
      <c r="X544" s="216"/>
      <c r="Y544" s="216"/>
      <c r="Z544" s="216"/>
      <c r="AA544" s="216"/>
      <c r="AB544" s="216"/>
      <c r="AC544" s="216"/>
      <c r="AD544" s="216"/>
      <c r="AE544" s="216"/>
      <c r="AF544" s="216"/>
      <c r="AG544" s="216"/>
      <c r="AH544" s="216"/>
      <c r="AI544" s="216"/>
      <c r="AJ544" s="216"/>
      <c r="AK544" s="216"/>
      <c r="AL544" s="216"/>
      <c r="AM544" s="216"/>
      <c r="AN544" s="216"/>
    </row>
    <row r="545">
      <c r="B545" s="267"/>
      <c r="C545" s="266"/>
      <c r="D545" s="266"/>
      <c r="E545" s="266"/>
      <c r="F545" s="266"/>
      <c r="G545" s="266"/>
      <c r="H545" s="266"/>
      <c r="I545" s="266"/>
      <c r="J545" s="266"/>
      <c r="K545" s="266"/>
      <c r="L545" s="266"/>
      <c r="M545" s="266"/>
      <c r="N545" s="266"/>
      <c r="O545" s="266"/>
      <c r="P545" s="266"/>
      <c r="Q545" s="266"/>
      <c r="R545" s="266"/>
      <c r="S545" s="216"/>
      <c r="T545" s="216"/>
      <c r="U545" s="217"/>
      <c r="V545" s="216"/>
      <c r="W545" s="216"/>
      <c r="X545" s="216"/>
      <c r="Y545" s="216"/>
      <c r="Z545" s="216"/>
      <c r="AA545" s="216"/>
      <c r="AB545" s="216"/>
      <c r="AC545" s="216"/>
      <c r="AD545" s="216"/>
      <c r="AE545" s="216"/>
      <c r="AF545" s="216"/>
      <c r="AG545" s="216"/>
      <c r="AH545" s="216"/>
      <c r="AI545" s="216"/>
      <c r="AJ545" s="216"/>
      <c r="AK545" s="216"/>
      <c r="AL545" s="216"/>
      <c r="AM545" s="216"/>
      <c r="AN545" s="216"/>
    </row>
    <row r="546">
      <c r="B546" s="267"/>
      <c r="C546" s="266"/>
      <c r="D546" s="266"/>
      <c r="E546" s="266"/>
      <c r="F546" s="266"/>
      <c r="G546" s="266"/>
      <c r="H546" s="266"/>
      <c r="I546" s="266"/>
      <c r="J546" s="266"/>
      <c r="K546" s="266"/>
      <c r="L546" s="266"/>
      <c r="M546" s="266"/>
      <c r="N546" s="266"/>
      <c r="O546" s="266"/>
      <c r="P546" s="266"/>
      <c r="Q546" s="266"/>
      <c r="R546" s="266"/>
      <c r="S546" s="216"/>
      <c r="T546" s="216"/>
      <c r="U546" s="217"/>
      <c r="V546" s="216"/>
      <c r="W546" s="216"/>
      <c r="X546" s="216"/>
      <c r="Y546" s="216"/>
      <c r="Z546" s="216"/>
      <c r="AA546" s="216"/>
      <c r="AB546" s="216"/>
      <c r="AC546" s="216"/>
      <c r="AD546" s="216"/>
      <c r="AE546" s="216"/>
      <c r="AF546" s="216"/>
      <c r="AG546" s="216"/>
      <c r="AH546" s="216"/>
      <c r="AI546" s="216"/>
      <c r="AJ546" s="216"/>
      <c r="AK546" s="216"/>
      <c r="AL546" s="216"/>
      <c r="AM546" s="216"/>
      <c r="AN546" s="216"/>
    </row>
    <row r="547">
      <c r="B547" s="267"/>
      <c r="C547" s="266"/>
      <c r="D547" s="266"/>
      <c r="E547" s="266"/>
      <c r="F547" s="266"/>
      <c r="G547" s="266"/>
      <c r="H547" s="266"/>
      <c r="I547" s="266"/>
      <c r="J547" s="266"/>
      <c r="K547" s="266"/>
      <c r="L547" s="266"/>
      <c r="M547" s="266"/>
      <c r="N547" s="266"/>
      <c r="O547" s="266"/>
      <c r="P547" s="266"/>
      <c r="Q547" s="266"/>
      <c r="R547" s="266"/>
      <c r="S547" s="216"/>
      <c r="T547" s="216"/>
      <c r="U547" s="217"/>
      <c r="V547" s="216"/>
      <c r="W547" s="216"/>
      <c r="X547" s="216"/>
      <c r="Y547" s="216"/>
      <c r="Z547" s="216"/>
      <c r="AA547" s="216"/>
      <c r="AB547" s="216"/>
      <c r="AC547" s="216"/>
      <c r="AD547" s="216"/>
      <c r="AE547" s="216"/>
      <c r="AF547" s="216"/>
      <c r="AG547" s="216"/>
      <c r="AH547" s="216"/>
      <c r="AI547" s="216"/>
      <c r="AJ547" s="216"/>
      <c r="AK547" s="216"/>
      <c r="AL547" s="216"/>
      <c r="AM547" s="216"/>
      <c r="AN547" s="216"/>
    </row>
    <row r="548">
      <c r="B548" s="267"/>
      <c r="C548" s="266"/>
      <c r="D548" s="266"/>
      <c r="E548" s="266"/>
      <c r="F548" s="266"/>
      <c r="G548" s="266"/>
      <c r="H548" s="266"/>
      <c r="I548" s="266"/>
      <c r="J548" s="266"/>
      <c r="K548" s="266"/>
      <c r="L548" s="266"/>
      <c r="M548" s="266"/>
      <c r="N548" s="266"/>
      <c r="O548" s="266"/>
      <c r="P548" s="266"/>
      <c r="Q548" s="266"/>
      <c r="R548" s="266"/>
      <c r="S548" s="216"/>
      <c r="T548" s="216"/>
      <c r="U548" s="217"/>
      <c r="V548" s="216"/>
      <c r="W548" s="216"/>
      <c r="X548" s="216"/>
      <c r="Y548" s="216"/>
      <c r="Z548" s="216"/>
      <c r="AA548" s="216"/>
      <c r="AB548" s="216"/>
      <c r="AC548" s="216"/>
      <c r="AD548" s="216"/>
      <c r="AE548" s="216"/>
      <c r="AF548" s="216"/>
      <c r="AG548" s="216"/>
      <c r="AH548" s="216"/>
      <c r="AI548" s="216"/>
      <c r="AJ548" s="216"/>
      <c r="AK548" s="216"/>
      <c r="AL548" s="216"/>
      <c r="AM548" s="216"/>
      <c r="AN548" s="216"/>
    </row>
    <row r="549">
      <c r="B549" s="267"/>
      <c r="C549" s="266"/>
      <c r="D549" s="266"/>
      <c r="E549" s="266"/>
      <c r="F549" s="266"/>
      <c r="G549" s="266"/>
      <c r="H549" s="266"/>
      <c r="I549" s="266"/>
      <c r="J549" s="266"/>
      <c r="K549" s="266"/>
      <c r="L549" s="266"/>
      <c r="M549" s="266"/>
      <c r="N549" s="266"/>
      <c r="O549" s="266"/>
      <c r="P549" s="266"/>
      <c r="Q549" s="266"/>
      <c r="R549" s="266"/>
      <c r="S549" s="216"/>
      <c r="T549" s="216"/>
      <c r="U549" s="217"/>
      <c r="V549" s="216"/>
      <c r="W549" s="216"/>
      <c r="X549" s="216"/>
      <c r="Y549" s="216"/>
      <c r="Z549" s="216"/>
      <c r="AA549" s="216"/>
      <c r="AB549" s="216"/>
      <c r="AC549" s="216"/>
      <c r="AD549" s="216"/>
      <c r="AE549" s="216"/>
      <c r="AF549" s="216"/>
      <c r="AG549" s="216"/>
      <c r="AH549" s="216"/>
      <c r="AI549" s="216"/>
      <c r="AJ549" s="216"/>
      <c r="AK549" s="216"/>
      <c r="AL549" s="216"/>
      <c r="AM549" s="216"/>
      <c r="AN549" s="216"/>
    </row>
    <row r="550">
      <c r="B550" s="267"/>
      <c r="C550" s="266"/>
      <c r="D550" s="266"/>
      <c r="E550" s="266"/>
      <c r="F550" s="266"/>
      <c r="G550" s="266"/>
      <c r="H550" s="266"/>
      <c r="I550" s="266"/>
      <c r="J550" s="266"/>
      <c r="K550" s="266"/>
      <c r="L550" s="266"/>
      <c r="M550" s="266"/>
      <c r="N550" s="266"/>
      <c r="O550" s="266"/>
      <c r="P550" s="266"/>
      <c r="Q550" s="266"/>
      <c r="R550" s="266"/>
      <c r="S550" s="216"/>
      <c r="T550" s="216"/>
      <c r="U550" s="217"/>
      <c r="V550" s="216"/>
      <c r="W550" s="216"/>
      <c r="X550" s="216"/>
      <c r="Y550" s="216"/>
      <c r="Z550" s="216"/>
      <c r="AA550" s="216"/>
      <c r="AB550" s="216"/>
      <c r="AC550" s="216"/>
      <c r="AD550" s="216"/>
      <c r="AE550" s="216"/>
      <c r="AF550" s="216"/>
      <c r="AG550" s="216"/>
      <c r="AH550" s="216"/>
      <c r="AI550" s="216"/>
      <c r="AJ550" s="216"/>
      <c r="AK550" s="216"/>
      <c r="AL550" s="216"/>
      <c r="AM550" s="216"/>
      <c r="AN550" s="216"/>
    </row>
    <row r="551">
      <c r="B551" s="267"/>
      <c r="C551" s="266"/>
      <c r="D551" s="266"/>
      <c r="E551" s="266"/>
      <c r="F551" s="266"/>
      <c r="G551" s="266"/>
      <c r="H551" s="266"/>
      <c r="I551" s="266"/>
      <c r="J551" s="266"/>
      <c r="K551" s="266"/>
      <c r="L551" s="266"/>
      <c r="M551" s="266"/>
      <c r="N551" s="266"/>
      <c r="O551" s="266"/>
      <c r="P551" s="266"/>
      <c r="Q551" s="266"/>
      <c r="R551" s="266"/>
      <c r="S551" s="216"/>
      <c r="T551" s="216"/>
      <c r="U551" s="217"/>
      <c r="V551" s="216"/>
      <c r="W551" s="216"/>
      <c r="X551" s="216"/>
      <c r="Y551" s="216"/>
      <c r="Z551" s="216"/>
      <c r="AA551" s="216"/>
      <c r="AB551" s="216"/>
      <c r="AC551" s="216"/>
      <c r="AD551" s="216"/>
      <c r="AE551" s="216"/>
      <c r="AF551" s="216"/>
      <c r="AG551" s="216"/>
      <c r="AH551" s="216"/>
      <c r="AI551" s="216"/>
      <c r="AJ551" s="216"/>
      <c r="AK551" s="216"/>
      <c r="AL551" s="216"/>
      <c r="AM551" s="216"/>
      <c r="AN551" s="216"/>
    </row>
    <row r="552">
      <c r="B552" s="267"/>
      <c r="C552" s="266"/>
      <c r="D552" s="266"/>
      <c r="E552" s="266"/>
      <c r="F552" s="266"/>
      <c r="G552" s="266"/>
      <c r="H552" s="266"/>
      <c r="I552" s="266"/>
      <c r="J552" s="266"/>
      <c r="K552" s="266"/>
      <c r="L552" s="266"/>
      <c r="M552" s="266"/>
      <c r="N552" s="266"/>
      <c r="O552" s="266"/>
      <c r="P552" s="266"/>
      <c r="Q552" s="266"/>
      <c r="R552" s="266"/>
      <c r="S552" s="216"/>
      <c r="T552" s="216"/>
      <c r="U552" s="217"/>
      <c r="V552" s="216"/>
      <c r="W552" s="216"/>
      <c r="X552" s="216"/>
      <c r="Y552" s="216"/>
      <c r="Z552" s="216"/>
      <c r="AA552" s="216"/>
      <c r="AB552" s="216"/>
      <c r="AC552" s="216"/>
      <c r="AD552" s="216"/>
      <c r="AE552" s="216"/>
      <c r="AF552" s="216"/>
      <c r="AG552" s="216"/>
      <c r="AH552" s="216"/>
      <c r="AI552" s="216"/>
      <c r="AJ552" s="216"/>
      <c r="AK552" s="216"/>
      <c r="AL552" s="216"/>
      <c r="AM552" s="216"/>
      <c r="AN552" s="216"/>
    </row>
    <row r="553">
      <c r="B553" s="267"/>
      <c r="C553" s="266"/>
      <c r="D553" s="266"/>
      <c r="E553" s="266"/>
      <c r="F553" s="266"/>
      <c r="G553" s="266"/>
      <c r="H553" s="266"/>
      <c r="I553" s="266"/>
      <c r="J553" s="266"/>
      <c r="K553" s="266"/>
      <c r="L553" s="266"/>
      <c r="M553" s="266"/>
      <c r="N553" s="266"/>
      <c r="O553" s="266"/>
      <c r="P553" s="266"/>
      <c r="Q553" s="266"/>
      <c r="R553" s="266"/>
      <c r="S553" s="216"/>
      <c r="T553" s="216"/>
      <c r="U553" s="217"/>
      <c r="V553" s="216"/>
      <c r="W553" s="216"/>
      <c r="X553" s="216"/>
      <c r="Y553" s="216"/>
      <c r="Z553" s="216"/>
      <c r="AA553" s="216"/>
      <c r="AB553" s="216"/>
      <c r="AC553" s="216"/>
      <c r="AD553" s="216"/>
      <c r="AE553" s="216"/>
      <c r="AF553" s="216"/>
      <c r="AG553" s="216"/>
      <c r="AH553" s="216"/>
      <c r="AI553" s="216"/>
      <c r="AJ553" s="216"/>
      <c r="AK553" s="216"/>
      <c r="AL553" s="216"/>
      <c r="AM553" s="216"/>
      <c r="AN553" s="216"/>
    </row>
    <row r="554">
      <c r="B554" s="267"/>
      <c r="C554" s="266"/>
      <c r="D554" s="266"/>
      <c r="E554" s="266"/>
      <c r="F554" s="266"/>
      <c r="G554" s="266"/>
      <c r="H554" s="266"/>
      <c r="I554" s="266"/>
      <c r="J554" s="266"/>
      <c r="K554" s="266"/>
      <c r="L554" s="266"/>
      <c r="M554" s="266"/>
      <c r="N554" s="266"/>
      <c r="O554" s="266"/>
      <c r="P554" s="266"/>
      <c r="Q554" s="266"/>
      <c r="R554" s="266"/>
      <c r="S554" s="216"/>
      <c r="T554" s="216"/>
      <c r="U554" s="217"/>
      <c r="V554" s="216"/>
      <c r="W554" s="216"/>
      <c r="X554" s="216"/>
      <c r="Y554" s="216"/>
      <c r="Z554" s="216"/>
      <c r="AA554" s="216"/>
      <c r="AB554" s="216"/>
      <c r="AC554" s="216"/>
      <c r="AD554" s="216"/>
      <c r="AE554" s="216"/>
      <c r="AF554" s="216"/>
      <c r="AG554" s="216"/>
      <c r="AH554" s="216"/>
      <c r="AI554" s="216"/>
      <c r="AJ554" s="216"/>
      <c r="AK554" s="216"/>
      <c r="AL554" s="216"/>
      <c r="AM554" s="216"/>
      <c r="AN554" s="216"/>
    </row>
    <row r="555">
      <c r="B555" s="267"/>
      <c r="C555" s="266"/>
      <c r="D555" s="266"/>
      <c r="E555" s="266"/>
      <c r="F555" s="266"/>
      <c r="G555" s="266"/>
      <c r="H555" s="266"/>
      <c r="I555" s="266"/>
      <c r="J555" s="266"/>
      <c r="K555" s="266"/>
      <c r="L555" s="266"/>
      <c r="M555" s="266"/>
      <c r="N555" s="266"/>
      <c r="O555" s="266"/>
      <c r="P555" s="266"/>
      <c r="Q555" s="266"/>
      <c r="R555" s="266"/>
      <c r="S555" s="216"/>
      <c r="T555" s="216"/>
      <c r="U555" s="217"/>
      <c r="V555" s="216"/>
      <c r="W555" s="216"/>
      <c r="X555" s="216"/>
      <c r="Y555" s="216"/>
      <c r="Z555" s="216"/>
      <c r="AA555" s="216"/>
      <c r="AB555" s="216"/>
      <c r="AC555" s="216"/>
      <c r="AD555" s="216"/>
      <c r="AE555" s="216"/>
      <c r="AF555" s="216"/>
      <c r="AG555" s="216"/>
      <c r="AH555" s="216"/>
      <c r="AI555" s="216"/>
      <c r="AJ555" s="216"/>
      <c r="AK555" s="216"/>
      <c r="AL555" s="216"/>
      <c r="AM555" s="216"/>
      <c r="AN555" s="216"/>
    </row>
    <row r="556">
      <c r="B556" s="267"/>
      <c r="C556" s="266"/>
      <c r="D556" s="266"/>
      <c r="E556" s="266"/>
      <c r="F556" s="266"/>
      <c r="G556" s="266"/>
      <c r="H556" s="266"/>
      <c r="I556" s="266"/>
      <c r="J556" s="266"/>
      <c r="K556" s="266"/>
      <c r="L556" s="266"/>
      <c r="M556" s="266"/>
      <c r="N556" s="266"/>
      <c r="O556" s="266"/>
      <c r="P556" s="266"/>
      <c r="Q556" s="266"/>
      <c r="R556" s="266"/>
      <c r="S556" s="216"/>
      <c r="T556" s="216"/>
      <c r="U556" s="217"/>
      <c r="V556" s="216"/>
      <c r="W556" s="216"/>
      <c r="X556" s="216"/>
      <c r="Y556" s="216"/>
      <c r="Z556" s="216"/>
      <c r="AA556" s="216"/>
      <c r="AB556" s="216"/>
      <c r="AC556" s="216"/>
      <c r="AD556" s="216"/>
      <c r="AE556" s="216"/>
      <c r="AF556" s="216"/>
      <c r="AG556" s="216"/>
      <c r="AH556" s="216"/>
      <c r="AI556" s="216"/>
      <c r="AJ556" s="216"/>
      <c r="AK556" s="216"/>
      <c r="AL556" s="216"/>
      <c r="AM556" s="216"/>
      <c r="AN556" s="216"/>
    </row>
    <row r="557">
      <c r="B557" s="267"/>
      <c r="C557" s="266"/>
      <c r="D557" s="266"/>
      <c r="E557" s="266"/>
      <c r="F557" s="266"/>
      <c r="G557" s="266"/>
      <c r="H557" s="266"/>
      <c r="I557" s="266"/>
      <c r="J557" s="266"/>
      <c r="K557" s="266"/>
      <c r="L557" s="266"/>
      <c r="M557" s="266"/>
      <c r="N557" s="266"/>
      <c r="O557" s="266"/>
      <c r="P557" s="266"/>
      <c r="Q557" s="266"/>
      <c r="R557" s="266"/>
      <c r="S557" s="216"/>
      <c r="T557" s="216"/>
      <c r="U557" s="217"/>
      <c r="V557" s="216"/>
      <c r="W557" s="216"/>
      <c r="X557" s="216"/>
      <c r="Y557" s="216"/>
      <c r="Z557" s="216"/>
      <c r="AA557" s="216"/>
      <c r="AB557" s="216"/>
      <c r="AC557" s="216"/>
      <c r="AD557" s="216"/>
      <c r="AE557" s="216"/>
      <c r="AF557" s="216"/>
      <c r="AG557" s="216"/>
      <c r="AH557" s="216"/>
      <c r="AI557" s="216"/>
      <c r="AJ557" s="216"/>
      <c r="AK557" s="216"/>
      <c r="AL557" s="216"/>
      <c r="AM557" s="216"/>
      <c r="AN557" s="216"/>
    </row>
    <row r="558">
      <c r="B558" s="267"/>
      <c r="C558" s="266"/>
      <c r="D558" s="266"/>
      <c r="E558" s="266"/>
      <c r="F558" s="266"/>
      <c r="G558" s="266"/>
      <c r="H558" s="266"/>
      <c r="I558" s="266"/>
      <c r="J558" s="266"/>
      <c r="K558" s="266"/>
      <c r="L558" s="266"/>
      <c r="M558" s="266"/>
      <c r="N558" s="266"/>
      <c r="O558" s="266"/>
      <c r="P558" s="266"/>
      <c r="Q558" s="266"/>
      <c r="R558" s="266"/>
      <c r="S558" s="216"/>
      <c r="T558" s="216"/>
      <c r="U558" s="217"/>
      <c r="V558" s="216"/>
      <c r="W558" s="216"/>
      <c r="X558" s="216"/>
      <c r="Y558" s="216"/>
      <c r="Z558" s="216"/>
      <c r="AA558" s="216"/>
      <c r="AB558" s="216"/>
      <c r="AC558" s="216"/>
      <c r="AD558" s="216"/>
      <c r="AE558" s="216"/>
      <c r="AF558" s="216"/>
      <c r="AG558" s="216"/>
      <c r="AH558" s="216"/>
      <c r="AI558" s="216"/>
      <c r="AJ558" s="216"/>
      <c r="AK558" s="216"/>
      <c r="AL558" s="216"/>
      <c r="AM558" s="216"/>
      <c r="AN558" s="216"/>
    </row>
    <row r="559">
      <c r="B559" s="267"/>
      <c r="C559" s="266"/>
      <c r="D559" s="266"/>
      <c r="E559" s="266"/>
      <c r="F559" s="266"/>
      <c r="G559" s="266"/>
      <c r="H559" s="266"/>
      <c r="I559" s="266"/>
      <c r="J559" s="266"/>
      <c r="K559" s="266"/>
      <c r="L559" s="266"/>
      <c r="M559" s="266"/>
      <c r="N559" s="266"/>
      <c r="O559" s="266"/>
      <c r="P559" s="266"/>
      <c r="Q559" s="266"/>
      <c r="R559" s="266"/>
      <c r="S559" s="216"/>
      <c r="T559" s="216"/>
      <c r="U559" s="217"/>
      <c r="V559" s="216"/>
      <c r="W559" s="216"/>
      <c r="X559" s="216"/>
      <c r="Y559" s="216"/>
      <c r="Z559" s="216"/>
      <c r="AA559" s="216"/>
      <c r="AB559" s="216"/>
      <c r="AC559" s="216"/>
      <c r="AD559" s="216"/>
      <c r="AE559" s="216"/>
      <c r="AF559" s="216"/>
      <c r="AG559" s="216"/>
      <c r="AH559" s="216"/>
      <c r="AI559" s="216"/>
      <c r="AJ559" s="216"/>
      <c r="AK559" s="216"/>
      <c r="AL559" s="216"/>
      <c r="AM559" s="216"/>
      <c r="AN559" s="216"/>
    </row>
    <row r="560">
      <c r="B560" s="267"/>
      <c r="C560" s="266"/>
      <c r="D560" s="266"/>
      <c r="E560" s="266"/>
      <c r="F560" s="266"/>
      <c r="G560" s="266"/>
      <c r="H560" s="266"/>
      <c r="I560" s="266"/>
      <c r="J560" s="266"/>
      <c r="K560" s="266"/>
      <c r="L560" s="266"/>
      <c r="M560" s="266"/>
      <c r="N560" s="266"/>
      <c r="O560" s="266"/>
      <c r="P560" s="266"/>
      <c r="Q560" s="266"/>
      <c r="R560" s="266"/>
      <c r="S560" s="216"/>
      <c r="T560" s="216"/>
      <c r="U560" s="217"/>
      <c r="V560" s="216"/>
      <c r="W560" s="216"/>
      <c r="X560" s="216"/>
      <c r="Y560" s="216"/>
      <c r="Z560" s="216"/>
      <c r="AA560" s="216"/>
      <c r="AB560" s="216"/>
      <c r="AC560" s="216"/>
      <c r="AD560" s="216"/>
      <c r="AE560" s="216"/>
      <c r="AF560" s="216"/>
      <c r="AG560" s="216"/>
      <c r="AH560" s="216"/>
      <c r="AI560" s="216"/>
      <c r="AJ560" s="216"/>
      <c r="AK560" s="216"/>
      <c r="AL560" s="216"/>
      <c r="AM560" s="216"/>
      <c r="AN560" s="216"/>
    </row>
    <row r="561">
      <c r="B561" s="267"/>
      <c r="C561" s="266"/>
      <c r="D561" s="266"/>
      <c r="E561" s="266"/>
      <c r="F561" s="266"/>
      <c r="G561" s="266"/>
      <c r="H561" s="266"/>
      <c r="I561" s="266"/>
      <c r="J561" s="266"/>
      <c r="K561" s="266"/>
      <c r="L561" s="266"/>
      <c r="M561" s="266"/>
      <c r="N561" s="266"/>
      <c r="O561" s="266"/>
      <c r="P561" s="266"/>
      <c r="Q561" s="266"/>
      <c r="R561" s="266"/>
      <c r="S561" s="216"/>
      <c r="T561" s="216"/>
      <c r="U561" s="217"/>
      <c r="V561" s="216"/>
      <c r="W561" s="216"/>
      <c r="X561" s="216"/>
      <c r="Y561" s="216"/>
      <c r="Z561" s="216"/>
      <c r="AA561" s="216"/>
      <c r="AB561" s="216"/>
      <c r="AC561" s="216"/>
      <c r="AD561" s="216"/>
      <c r="AE561" s="216"/>
      <c r="AF561" s="216"/>
      <c r="AG561" s="216"/>
      <c r="AH561" s="216"/>
      <c r="AI561" s="216"/>
      <c r="AJ561" s="216"/>
      <c r="AK561" s="216"/>
      <c r="AL561" s="216"/>
      <c r="AM561" s="216"/>
      <c r="AN561" s="216"/>
    </row>
    <row r="562">
      <c r="B562" s="267"/>
      <c r="C562" s="266"/>
      <c r="D562" s="266"/>
      <c r="E562" s="266"/>
      <c r="F562" s="266"/>
      <c r="G562" s="266"/>
      <c r="H562" s="266"/>
      <c r="I562" s="266"/>
      <c r="J562" s="266"/>
      <c r="K562" s="266"/>
      <c r="L562" s="266"/>
      <c r="M562" s="266"/>
      <c r="N562" s="266"/>
      <c r="O562" s="266"/>
      <c r="P562" s="266"/>
      <c r="Q562" s="266"/>
      <c r="R562" s="266"/>
      <c r="S562" s="216"/>
      <c r="T562" s="216"/>
      <c r="U562" s="217"/>
      <c r="V562" s="216"/>
      <c r="W562" s="216"/>
      <c r="X562" s="216"/>
      <c r="Y562" s="216"/>
      <c r="Z562" s="216"/>
      <c r="AA562" s="216"/>
      <c r="AB562" s="216"/>
      <c r="AC562" s="216"/>
      <c r="AD562" s="216"/>
      <c r="AE562" s="216"/>
      <c r="AF562" s="216"/>
      <c r="AG562" s="216"/>
      <c r="AH562" s="216"/>
      <c r="AI562" s="216"/>
      <c r="AJ562" s="216"/>
      <c r="AK562" s="216"/>
      <c r="AL562" s="216"/>
      <c r="AM562" s="216"/>
      <c r="AN562" s="216"/>
    </row>
    <row r="563">
      <c r="B563" s="267"/>
      <c r="C563" s="266"/>
      <c r="D563" s="266"/>
      <c r="E563" s="266"/>
      <c r="F563" s="266"/>
      <c r="G563" s="266"/>
      <c r="H563" s="266"/>
      <c r="I563" s="266"/>
      <c r="J563" s="266"/>
      <c r="K563" s="266"/>
      <c r="L563" s="266"/>
      <c r="M563" s="266"/>
      <c r="N563" s="266"/>
      <c r="O563" s="266"/>
      <c r="P563" s="266"/>
      <c r="Q563" s="266"/>
      <c r="R563" s="266"/>
      <c r="S563" s="216"/>
      <c r="T563" s="216"/>
      <c r="U563" s="217"/>
      <c r="V563" s="216"/>
      <c r="W563" s="216"/>
      <c r="X563" s="216"/>
      <c r="Y563" s="216"/>
      <c r="Z563" s="216"/>
      <c r="AA563" s="216"/>
      <c r="AB563" s="216"/>
      <c r="AC563" s="216"/>
      <c r="AD563" s="216"/>
      <c r="AE563" s="216"/>
      <c r="AF563" s="216"/>
      <c r="AG563" s="216"/>
      <c r="AH563" s="216"/>
      <c r="AI563" s="216"/>
      <c r="AJ563" s="216"/>
      <c r="AK563" s="216"/>
      <c r="AL563" s="216"/>
      <c r="AM563" s="216"/>
      <c r="AN563" s="216"/>
    </row>
    <row r="564">
      <c r="B564" s="267"/>
      <c r="C564" s="266"/>
      <c r="D564" s="266"/>
      <c r="E564" s="266"/>
      <c r="F564" s="266"/>
      <c r="G564" s="266"/>
      <c r="H564" s="266"/>
      <c r="I564" s="266"/>
      <c r="J564" s="266"/>
      <c r="K564" s="266"/>
      <c r="L564" s="266"/>
      <c r="M564" s="266"/>
      <c r="N564" s="266"/>
      <c r="O564" s="266"/>
      <c r="P564" s="266"/>
      <c r="Q564" s="266"/>
      <c r="R564" s="266"/>
      <c r="S564" s="216"/>
      <c r="T564" s="216"/>
      <c r="U564" s="217"/>
      <c r="V564" s="216"/>
      <c r="W564" s="216"/>
      <c r="X564" s="216"/>
      <c r="Y564" s="216"/>
      <c r="Z564" s="216"/>
      <c r="AA564" s="216"/>
      <c r="AB564" s="216"/>
      <c r="AC564" s="216"/>
      <c r="AD564" s="216"/>
      <c r="AE564" s="216"/>
      <c r="AF564" s="216"/>
      <c r="AG564" s="216"/>
      <c r="AH564" s="216"/>
      <c r="AI564" s="216"/>
      <c r="AJ564" s="216"/>
      <c r="AK564" s="216"/>
      <c r="AL564" s="216"/>
      <c r="AM564" s="216"/>
      <c r="AN564" s="216"/>
    </row>
    <row r="565">
      <c r="B565" s="267"/>
      <c r="C565" s="266"/>
      <c r="D565" s="266"/>
      <c r="E565" s="266"/>
      <c r="F565" s="266"/>
      <c r="G565" s="266"/>
      <c r="H565" s="266"/>
      <c r="I565" s="266"/>
      <c r="J565" s="266"/>
      <c r="K565" s="266"/>
      <c r="L565" s="266"/>
      <c r="M565" s="266"/>
      <c r="N565" s="266"/>
      <c r="O565" s="266"/>
      <c r="P565" s="266"/>
      <c r="Q565" s="266"/>
      <c r="R565" s="266"/>
      <c r="S565" s="216"/>
      <c r="T565" s="216"/>
      <c r="U565" s="217"/>
      <c r="V565" s="216"/>
      <c r="W565" s="216"/>
      <c r="X565" s="216"/>
      <c r="Y565" s="216"/>
      <c r="Z565" s="216"/>
      <c r="AA565" s="216"/>
      <c r="AB565" s="216"/>
      <c r="AC565" s="216"/>
      <c r="AD565" s="216"/>
      <c r="AE565" s="216"/>
      <c r="AF565" s="216"/>
      <c r="AG565" s="216"/>
      <c r="AH565" s="216"/>
      <c r="AI565" s="216"/>
      <c r="AJ565" s="216"/>
      <c r="AK565" s="216"/>
      <c r="AL565" s="216"/>
      <c r="AM565" s="216"/>
      <c r="AN565" s="216"/>
    </row>
    <row r="566">
      <c r="B566" s="267"/>
      <c r="C566" s="266"/>
      <c r="D566" s="266"/>
      <c r="E566" s="266"/>
      <c r="F566" s="266"/>
      <c r="G566" s="266"/>
      <c r="H566" s="266"/>
      <c r="I566" s="266"/>
      <c r="J566" s="266"/>
      <c r="K566" s="266"/>
      <c r="L566" s="266"/>
      <c r="M566" s="266"/>
      <c r="N566" s="266"/>
      <c r="O566" s="266"/>
      <c r="P566" s="266"/>
      <c r="Q566" s="266"/>
      <c r="R566" s="266"/>
      <c r="S566" s="216"/>
      <c r="T566" s="216"/>
      <c r="U566" s="217"/>
      <c r="V566" s="216"/>
      <c r="W566" s="216"/>
      <c r="X566" s="216"/>
      <c r="Y566" s="216"/>
      <c r="Z566" s="216"/>
      <c r="AA566" s="216"/>
      <c r="AB566" s="216"/>
      <c r="AC566" s="216"/>
      <c r="AD566" s="216"/>
      <c r="AE566" s="216"/>
      <c r="AF566" s="216"/>
      <c r="AG566" s="216"/>
      <c r="AH566" s="216"/>
      <c r="AI566" s="216"/>
      <c r="AJ566" s="216"/>
      <c r="AK566" s="216"/>
      <c r="AL566" s="216"/>
      <c r="AM566" s="216"/>
      <c r="AN566" s="216"/>
    </row>
    <row r="567">
      <c r="B567" s="267"/>
      <c r="C567" s="266"/>
      <c r="D567" s="266"/>
      <c r="E567" s="266"/>
      <c r="F567" s="266"/>
      <c r="G567" s="266"/>
      <c r="H567" s="266"/>
      <c r="I567" s="266"/>
      <c r="J567" s="266"/>
      <c r="K567" s="266"/>
      <c r="L567" s="266"/>
      <c r="M567" s="266"/>
      <c r="N567" s="266"/>
      <c r="O567" s="266"/>
      <c r="P567" s="266"/>
      <c r="Q567" s="266"/>
      <c r="R567" s="266"/>
      <c r="S567" s="216"/>
      <c r="T567" s="216"/>
      <c r="U567" s="217"/>
      <c r="V567" s="216"/>
      <c r="W567" s="216"/>
      <c r="X567" s="216"/>
      <c r="Y567" s="216"/>
      <c r="Z567" s="216"/>
      <c r="AA567" s="216"/>
      <c r="AB567" s="216"/>
      <c r="AC567" s="216"/>
      <c r="AD567" s="216"/>
      <c r="AE567" s="216"/>
      <c r="AF567" s="216"/>
      <c r="AG567" s="216"/>
      <c r="AH567" s="216"/>
      <c r="AI567" s="216"/>
      <c r="AJ567" s="216"/>
      <c r="AK567" s="216"/>
      <c r="AL567" s="216"/>
      <c r="AM567" s="216"/>
      <c r="AN567" s="216"/>
    </row>
    <row r="568">
      <c r="B568" s="267"/>
      <c r="C568" s="266"/>
      <c r="D568" s="266"/>
      <c r="E568" s="266"/>
      <c r="F568" s="266"/>
      <c r="G568" s="266"/>
      <c r="H568" s="266"/>
      <c r="I568" s="266"/>
      <c r="J568" s="266"/>
      <c r="K568" s="266"/>
      <c r="L568" s="266"/>
      <c r="M568" s="266"/>
      <c r="N568" s="266"/>
      <c r="O568" s="266"/>
      <c r="P568" s="266"/>
      <c r="Q568" s="266"/>
      <c r="R568" s="266"/>
      <c r="S568" s="216"/>
      <c r="T568" s="216"/>
      <c r="U568" s="217"/>
      <c r="V568" s="216"/>
      <c r="W568" s="216"/>
      <c r="X568" s="216"/>
      <c r="Y568" s="216"/>
      <c r="Z568" s="216"/>
      <c r="AA568" s="216"/>
      <c r="AB568" s="216"/>
      <c r="AC568" s="216"/>
      <c r="AD568" s="216"/>
      <c r="AE568" s="216"/>
      <c r="AF568" s="216"/>
      <c r="AG568" s="216"/>
      <c r="AH568" s="216"/>
      <c r="AI568" s="216"/>
      <c r="AJ568" s="216"/>
      <c r="AK568" s="216"/>
      <c r="AL568" s="216"/>
      <c r="AM568" s="216"/>
      <c r="AN568" s="216"/>
    </row>
    <row r="569">
      <c r="B569" s="267"/>
      <c r="C569" s="266"/>
      <c r="D569" s="266"/>
      <c r="E569" s="266"/>
      <c r="F569" s="266"/>
      <c r="G569" s="266"/>
      <c r="H569" s="266"/>
      <c r="I569" s="266"/>
      <c r="J569" s="266"/>
      <c r="K569" s="266"/>
      <c r="L569" s="266"/>
      <c r="M569" s="266"/>
      <c r="N569" s="266"/>
      <c r="O569" s="266"/>
      <c r="P569" s="266"/>
      <c r="Q569" s="266"/>
      <c r="R569" s="266"/>
      <c r="S569" s="216"/>
      <c r="T569" s="216"/>
      <c r="U569" s="217"/>
      <c r="V569" s="216"/>
      <c r="W569" s="216"/>
      <c r="X569" s="216"/>
      <c r="Y569" s="216"/>
      <c r="Z569" s="216"/>
      <c r="AA569" s="216"/>
      <c r="AB569" s="216"/>
      <c r="AC569" s="216"/>
      <c r="AD569" s="216"/>
      <c r="AE569" s="216"/>
      <c r="AF569" s="216"/>
      <c r="AG569" s="216"/>
      <c r="AH569" s="216"/>
      <c r="AI569" s="216"/>
      <c r="AJ569" s="216"/>
      <c r="AK569" s="216"/>
      <c r="AL569" s="216"/>
      <c r="AM569" s="216"/>
      <c r="AN569" s="216"/>
    </row>
    <row r="570">
      <c r="B570" s="267"/>
      <c r="C570" s="266"/>
      <c r="D570" s="266"/>
      <c r="E570" s="266"/>
      <c r="F570" s="266"/>
      <c r="G570" s="266"/>
      <c r="H570" s="266"/>
      <c r="I570" s="266"/>
      <c r="J570" s="266"/>
      <c r="K570" s="266"/>
      <c r="L570" s="266"/>
      <c r="M570" s="266"/>
      <c r="N570" s="266"/>
      <c r="O570" s="266"/>
      <c r="P570" s="266"/>
      <c r="Q570" s="266"/>
      <c r="R570" s="266"/>
      <c r="S570" s="216"/>
      <c r="T570" s="216"/>
      <c r="U570" s="217"/>
      <c r="V570" s="216"/>
      <c r="W570" s="216"/>
      <c r="X570" s="216"/>
      <c r="Y570" s="216"/>
      <c r="Z570" s="216"/>
      <c r="AA570" s="216"/>
      <c r="AB570" s="216"/>
      <c r="AC570" s="216"/>
      <c r="AD570" s="216"/>
      <c r="AE570" s="216"/>
      <c r="AF570" s="216"/>
      <c r="AG570" s="216"/>
      <c r="AH570" s="216"/>
      <c r="AI570" s="216"/>
      <c r="AJ570" s="216"/>
      <c r="AK570" s="216"/>
      <c r="AL570" s="216"/>
      <c r="AM570" s="216"/>
      <c r="AN570" s="216"/>
    </row>
    <row r="571">
      <c r="B571" s="267"/>
      <c r="C571" s="266"/>
      <c r="D571" s="266"/>
      <c r="E571" s="266"/>
      <c r="F571" s="266"/>
      <c r="G571" s="266"/>
      <c r="H571" s="266"/>
      <c r="I571" s="266"/>
      <c r="J571" s="266"/>
      <c r="K571" s="266"/>
      <c r="L571" s="266"/>
      <c r="M571" s="266"/>
      <c r="N571" s="266"/>
      <c r="O571" s="266"/>
      <c r="P571" s="266"/>
      <c r="Q571" s="266"/>
      <c r="R571" s="266"/>
      <c r="S571" s="216"/>
      <c r="T571" s="216"/>
      <c r="U571" s="217"/>
      <c r="V571" s="216"/>
      <c r="W571" s="216"/>
      <c r="X571" s="216"/>
      <c r="Y571" s="216"/>
      <c r="Z571" s="216"/>
      <c r="AA571" s="216"/>
      <c r="AB571" s="216"/>
      <c r="AC571" s="216"/>
      <c r="AD571" s="216"/>
      <c r="AE571" s="216"/>
      <c r="AF571" s="216"/>
      <c r="AG571" s="216"/>
      <c r="AH571" s="216"/>
      <c r="AI571" s="216"/>
      <c r="AJ571" s="216"/>
      <c r="AK571" s="216"/>
      <c r="AL571" s="216"/>
      <c r="AM571" s="216"/>
      <c r="AN571" s="216"/>
    </row>
    <row r="572">
      <c r="B572" s="267"/>
      <c r="C572" s="266"/>
      <c r="D572" s="266"/>
      <c r="E572" s="266"/>
      <c r="F572" s="266"/>
      <c r="G572" s="266"/>
      <c r="H572" s="266"/>
      <c r="I572" s="266"/>
      <c r="J572" s="266"/>
      <c r="K572" s="266"/>
      <c r="L572" s="266"/>
      <c r="M572" s="266"/>
      <c r="N572" s="266"/>
      <c r="O572" s="266"/>
      <c r="P572" s="266"/>
      <c r="Q572" s="266"/>
      <c r="R572" s="266"/>
      <c r="S572" s="216"/>
      <c r="T572" s="216"/>
      <c r="U572" s="217"/>
      <c r="V572" s="216"/>
      <c r="W572" s="216"/>
      <c r="X572" s="216"/>
      <c r="Y572" s="216"/>
      <c r="Z572" s="216"/>
      <c r="AA572" s="216"/>
      <c r="AB572" s="216"/>
      <c r="AC572" s="216"/>
      <c r="AD572" s="216"/>
      <c r="AE572" s="216"/>
      <c r="AF572" s="216"/>
      <c r="AG572" s="216"/>
      <c r="AH572" s="216"/>
      <c r="AI572" s="216"/>
      <c r="AJ572" s="216"/>
      <c r="AK572" s="216"/>
      <c r="AL572" s="216"/>
      <c r="AM572" s="216"/>
      <c r="AN572" s="216"/>
    </row>
    <row r="573">
      <c r="B573" s="267"/>
      <c r="C573" s="266"/>
      <c r="D573" s="266"/>
      <c r="E573" s="266"/>
      <c r="F573" s="266"/>
      <c r="G573" s="266"/>
      <c r="H573" s="266"/>
      <c r="I573" s="266"/>
      <c r="J573" s="266"/>
      <c r="K573" s="266"/>
      <c r="L573" s="266"/>
      <c r="M573" s="266"/>
      <c r="N573" s="266"/>
      <c r="O573" s="266"/>
      <c r="P573" s="266"/>
      <c r="Q573" s="266"/>
      <c r="R573" s="266"/>
      <c r="S573" s="216"/>
      <c r="T573" s="216"/>
      <c r="U573" s="217"/>
      <c r="V573" s="216"/>
      <c r="W573" s="216"/>
      <c r="X573" s="216"/>
      <c r="Y573" s="216"/>
      <c r="Z573" s="216"/>
      <c r="AA573" s="216"/>
      <c r="AB573" s="216"/>
      <c r="AC573" s="216"/>
      <c r="AD573" s="216"/>
      <c r="AE573" s="216"/>
      <c r="AF573" s="216"/>
      <c r="AG573" s="216"/>
      <c r="AH573" s="216"/>
      <c r="AI573" s="216"/>
      <c r="AJ573" s="216"/>
      <c r="AK573" s="216"/>
      <c r="AL573" s="216"/>
      <c r="AM573" s="216"/>
      <c r="AN573" s="216"/>
    </row>
    <row r="574">
      <c r="B574" s="267"/>
      <c r="C574" s="266"/>
      <c r="D574" s="266"/>
      <c r="E574" s="266"/>
      <c r="F574" s="266"/>
      <c r="G574" s="266"/>
      <c r="H574" s="266"/>
      <c r="I574" s="266"/>
      <c r="J574" s="266"/>
      <c r="K574" s="266"/>
      <c r="L574" s="266"/>
      <c r="M574" s="266"/>
      <c r="N574" s="266"/>
      <c r="O574" s="266"/>
      <c r="P574" s="266"/>
      <c r="Q574" s="266"/>
      <c r="R574" s="266"/>
      <c r="S574" s="216"/>
      <c r="T574" s="216"/>
      <c r="U574" s="217"/>
      <c r="V574" s="216"/>
      <c r="W574" s="216"/>
      <c r="X574" s="216"/>
      <c r="Y574" s="216"/>
      <c r="Z574" s="216"/>
      <c r="AA574" s="216"/>
      <c r="AB574" s="216"/>
      <c r="AC574" s="216"/>
      <c r="AD574" s="216"/>
      <c r="AE574" s="216"/>
      <c r="AF574" s="216"/>
      <c r="AG574" s="216"/>
      <c r="AH574" s="216"/>
      <c r="AI574" s="216"/>
      <c r="AJ574" s="216"/>
      <c r="AK574" s="216"/>
      <c r="AL574" s="216"/>
      <c r="AM574" s="216"/>
      <c r="AN574" s="216"/>
    </row>
    <row r="575">
      <c r="B575" s="267"/>
      <c r="C575" s="266"/>
      <c r="D575" s="266"/>
      <c r="E575" s="266"/>
      <c r="F575" s="266"/>
      <c r="G575" s="266"/>
      <c r="H575" s="266"/>
      <c r="I575" s="266"/>
      <c r="J575" s="266"/>
      <c r="K575" s="266"/>
      <c r="L575" s="266"/>
      <c r="M575" s="266"/>
      <c r="N575" s="266"/>
      <c r="O575" s="266"/>
      <c r="P575" s="266"/>
      <c r="Q575" s="266"/>
      <c r="R575" s="266"/>
      <c r="S575" s="216"/>
      <c r="T575" s="216"/>
      <c r="U575" s="217"/>
      <c r="V575" s="216"/>
      <c r="W575" s="216"/>
      <c r="X575" s="216"/>
      <c r="Y575" s="216"/>
      <c r="Z575" s="216"/>
      <c r="AA575" s="216"/>
      <c r="AB575" s="216"/>
      <c r="AC575" s="216"/>
      <c r="AD575" s="216"/>
      <c r="AE575" s="216"/>
      <c r="AF575" s="216"/>
      <c r="AG575" s="216"/>
      <c r="AH575" s="216"/>
      <c r="AI575" s="216"/>
      <c r="AJ575" s="216"/>
      <c r="AK575" s="216"/>
      <c r="AL575" s="216"/>
      <c r="AM575" s="216"/>
      <c r="AN575" s="216"/>
    </row>
    <row r="576">
      <c r="B576" s="267"/>
      <c r="C576" s="266"/>
      <c r="D576" s="266"/>
      <c r="E576" s="266"/>
      <c r="F576" s="266"/>
      <c r="G576" s="266"/>
      <c r="H576" s="266"/>
      <c r="I576" s="266"/>
      <c r="J576" s="266"/>
      <c r="K576" s="266"/>
      <c r="L576" s="266"/>
      <c r="M576" s="266"/>
      <c r="N576" s="266"/>
      <c r="O576" s="266"/>
      <c r="P576" s="266"/>
      <c r="Q576" s="266"/>
      <c r="R576" s="266"/>
      <c r="S576" s="216"/>
      <c r="T576" s="216"/>
      <c r="U576" s="217"/>
      <c r="V576" s="216"/>
      <c r="W576" s="216"/>
      <c r="X576" s="216"/>
      <c r="Y576" s="216"/>
      <c r="Z576" s="216"/>
      <c r="AA576" s="216"/>
      <c r="AB576" s="216"/>
      <c r="AC576" s="216"/>
      <c r="AD576" s="216"/>
      <c r="AE576" s="216"/>
      <c r="AF576" s="216"/>
      <c r="AG576" s="216"/>
      <c r="AH576" s="216"/>
      <c r="AI576" s="216"/>
      <c r="AJ576" s="216"/>
      <c r="AK576" s="216"/>
      <c r="AL576" s="216"/>
      <c r="AM576" s="216"/>
      <c r="AN576" s="216"/>
    </row>
    <row r="577">
      <c r="B577" s="267"/>
      <c r="C577" s="266"/>
      <c r="D577" s="266"/>
      <c r="E577" s="266"/>
      <c r="F577" s="266"/>
      <c r="G577" s="266"/>
      <c r="H577" s="266"/>
      <c r="I577" s="266"/>
      <c r="J577" s="266"/>
      <c r="K577" s="266"/>
      <c r="L577" s="266"/>
      <c r="M577" s="266"/>
      <c r="N577" s="266"/>
      <c r="O577" s="266"/>
      <c r="P577" s="266"/>
      <c r="Q577" s="266"/>
      <c r="R577" s="266"/>
      <c r="S577" s="216"/>
      <c r="T577" s="216"/>
      <c r="U577" s="217"/>
      <c r="V577" s="216"/>
      <c r="W577" s="216"/>
      <c r="X577" s="216"/>
      <c r="Y577" s="216"/>
      <c r="Z577" s="216"/>
      <c r="AA577" s="216"/>
      <c r="AB577" s="216"/>
      <c r="AC577" s="216"/>
      <c r="AD577" s="216"/>
      <c r="AE577" s="216"/>
      <c r="AF577" s="216"/>
      <c r="AG577" s="216"/>
      <c r="AH577" s="216"/>
      <c r="AI577" s="216"/>
      <c r="AJ577" s="216"/>
      <c r="AK577" s="216"/>
      <c r="AL577" s="216"/>
      <c r="AM577" s="216"/>
      <c r="AN577" s="216"/>
    </row>
    <row r="578">
      <c r="B578" s="267"/>
      <c r="C578" s="266"/>
      <c r="D578" s="266"/>
      <c r="E578" s="266"/>
      <c r="F578" s="266"/>
      <c r="G578" s="266"/>
      <c r="H578" s="266"/>
      <c r="I578" s="266"/>
      <c r="J578" s="266"/>
      <c r="K578" s="266"/>
      <c r="L578" s="266"/>
      <c r="M578" s="266"/>
      <c r="N578" s="266"/>
      <c r="O578" s="266"/>
      <c r="P578" s="266"/>
      <c r="Q578" s="266"/>
      <c r="R578" s="266"/>
      <c r="S578" s="216"/>
      <c r="T578" s="216"/>
      <c r="U578" s="217"/>
      <c r="V578" s="216"/>
      <c r="W578" s="216"/>
      <c r="X578" s="216"/>
      <c r="Y578" s="216"/>
      <c r="Z578" s="216"/>
      <c r="AA578" s="216"/>
      <c r="AB578" s="216"/>
      <c r="AC578" s="216"/>
      <c r="AD578" s="216"/>
      <c r="AE578" s="216"/>
      <c r="AF578" s="216"/>
      <c r="AG578" s="216"/>
      <c r="AH578" s="216"/>
      <c r="AI578" s="216"/>
      <c r="AJ578" s="216"/>
      <c r="AK578" s="216"/>
      <c r="AL578" s="216"/>
      <c r="AM578" s="216"/>
      <c r="AN578" s="216"/>
    </row>
    <row r="579">
      <c r="B579" s="267"/>
      <c r="C579" s="266"/>
      <c r="D579" s="266"/>
      <c r="E579" s="266"/>
      <c r="F579" s="266"/>
      <c r="G579" s="266"/>
      <c r="H579" s="266"/>
      <c r="I579" s="266"/>
      <c r="J579" s="266"/>
      <c r="K579" s="266"/>
      <c r="L579" s="266"/>
      <c r="M579" s="266"/>
      <c r="N579" s="266"/>
      <c r="O579" s="266"/>
      <c r="P579" s="266"/>
      <c r="Q579" s="266"/>
      <c r="R579" s="266"/>
      <c r="S579" s="216"/>
      <c r="T579" s="216"/>
      <c r="U579" s="217"/>
      <c r="V579" s="216"/>
      <c r="W579" s="216"/>
      <c r="X579" s="216"/>
      <c r="Y579" s="216"/>
      <c r="Z579" s="216"/>
      <c r="AA579" s="216"/>
      <c r="AB579" s="216"/>
      <c r="AC579" s="216"/>
      <c r="AD579" s="216"/>
      <c r="AE579" s="216"/>
      <c r="AF579" s="216"/>
      <c r="AG579" s="216"/>
      <c r="AH579" s="216"/>
      <c r="AI579" s="216"/>
      <c r="AJ579" s="216"/>
      <c r="AK579" s="216"/>
      <c r="AL579" s="216"/>
      <c r="AM579" s="216"/>
      <c r="AN579" s="216"/>
    </row>
    <row r="580">
      <c r="B580" s="267"/>
      <c r="C580" s="266"/>
      <c r="D580" s="266"/>
      <c r="E580" s="266"/>
      <c r="F580" s="266"/>
      <c r="G580" s="266"/>
      <c r="H580" s="266"/>
      <c r="I580" s="266"/>
      <c r="J580" s="266"/>
      <c r="K580" s="266"/>
      <c r="L580" s="266"/>
      <c r="M580" s="266"/>
      <c r="N580" s="266"/>
      <c r="O580" s="266"/>
      <c r="P580" s="266"/>
      <c r="Q580" s="266"/>
      <c r="R580" s="266"/>
      <c r="S580" s="216"/>
      <c r="T580" s="216"/>
      <c r="U580" s="217"/>
      <c r="V580" s="216"/>
      <c r="W580" s="216"/>
      <c r="X580" s="216"/>
      <c r="Y580" s="216"/>
      <c r="Z580" s="216"/>
      <c r="AA580" s="216"/>
      <c r="AB580" s="216"/>
      <c r="AC580" s="216"/>
      <c r="AD580" s="216"/>
      <c r="AE580" s="216"/>
      <c r="AF580" s="216"/>
      <c r="AG580" s="216"/>
      <c r="AH580" s="216"/>
      <c r="AI580" s="216"/>
      <c r="AJ580" s="216"/>
      <c r="AK580" s="216"/>
      <c r="AL580" s="216"/>
      <c r="AM580" s="216"/>
      <c r="AN580" s="216"/>
    </row>
    <row r="581">
      <c r="B581" s="267"/>
      <c r="C581" s="266"/>
      <c r="D581" s="266"/>
      <c r="E581" s="266"/>
      <c r="F581" s="266"/>
      <c r="G581" s="266"/>
      <c r="H581" s="266"/>
      <c r="I581" s="266"/>
      <c r="J581" s="266"/>
      <c r="K581" s="266"/>
      <c r="L581" s="266"/>
      <c r="M581" s="266"/>
      <c r="N581" s="266"/>
      <c r="O581" s="266"/>
      <c r="P581" s="266"/>
      <c r="Q581" s="266"/>
      <c r="R581" s="266"/>
      <c r="S581" s="216"/>
      <c r="T581" s="216"/>
      <c r="U581" s="217"/>
      <c r="V581" s="216"/>
      <c r="W581" s="216"/>
      <c r="X581" s="216"/>
      <c r="Y581" s="216"/>
      <c r="Z581" s="216"/>
      <c r="AA581" s="216"/>
      <c r="AB581" s="216"/>
      <c r="AC581" s="216"/>
      <c r="AD581" s="216"/>
      <c r="AE581" s="216"/>
      <c r="AF581" s="216"/>
      <c r="AG581" s="216"/>
      <c r="AH581" s="216"/>
      <c r="AI581" s="216"/>
      <c r="AJ581" s="216"/>
      <c r="AK581" s="216"/>
      <c r="AL581" s="216"/>
      <c r="AM581" s="216"/>
      <c r="AN581" s="216"/>
    </row>
    <row r="582">
      <c r="B582" s="267"/>
      <c r="C582" s="266"/>
      <c r="D582" s="266"/>
      <c r="E582" s="266"/>
      <c r="F582" s="266"/>
      <c r="G582" s="266"/>
      <c r="H582" s="266"/>
      <c r="I582" s="266"/>
      <c r="J582" s="266"/>
      <c r="K582" s="266"/>
      <c r="L582" s="266"/>
      <c r="M582" s="266"/>
      <c r="N582" s="266"/>
      <c r="O582" s="266"/>
      <c r="P582" s="266"/>
      <c r="Q582" s="266"/>
      <c r="R582" s="266"/>
      <c r="S582" s="216"/>
      <c r="T582" s="216"/>
      <c r="U582" s="217"/>
      <c r="V582" s="216"/>
      <c r="W582" s="216"/>
      <c r="X582" s="216"/>
      <c r="Y582" s="216"/>
      <c r="Z582" s="216"/>
      <c r="AA582" s="216"/>
      <c r="AB582" s="216"/>
      <c r="AC582" s="216"/>
      <c r="AD582" s="216"/>
      <c r="AE582" s="216"/>
      <c r="AF582" s="216"/>
      <c r="AG582" s="216"/>
      <c r="AH582" s="216"/>
      <c r="AI582" s="216"/>
      <c r="AJ582" s="216"/>
      <c r="AK582" s="216"/>
      <c r="AL582" s="216"/>
      <c r="AM582" s="216"/>
      <c r="AN582" s="216"/>
    </row>
    <row r="583">
      <c r="B583" s="267"/>
      <c r="C583" s="266"/>
      <c r="D583" s="266"/>
      <c r="E583" s="266"/>
      <c r="F583" s="266"/>
      <c r="G583" s="266"/>
      <c r="H583" s="266"/>
      <c r="I583" s="266"/>
      <c r="J583" s="266"/>
      <c r="K583" s="266"/>
      <c r="L583" s="266"/>
      <c r="M583" s="266"/>
      <c r="N583" s="266"/>
      <c r="O583" s="266"/>
      <c r="P583" s="266"/>
      <c r="Q583" s="266"/>
      <c r="R583" s="266"/>
      <c r="S583" s="216"/>
      <c r="T583" s="216"/>
      <c r="U583" s="217"/>
      <c r="V583" s="216"/>
      <c r="W583" s="216"/>
      <c r="X583" s="216"/>
      <c r="Y583" s="216"/>
      <c r="Z583" s="216"/>
      <c r="AA583" s="216"/>
      <c r="AB583" s="216"/>
      <c r="AC583" s="216"/>
      <c r="AD583" s="216"/>
      <c r="AE583" s="216"/>
      <c r="AF583" s="216"/>
      <c r="AG583" s="216"/>
      <c r="AH583" s="216"/>
      <c r="AI583" s="216"/>
      <c r="AJ583" s="216"/>
      <c r="AK583" s="216"/>
      <c r="AL583" s="216"/>
      <c r="AM583" s="216"/>
      <c r="AN583" s="216"/>
    </row>
    <row r="584">
      <c r="B584" s="267"/>
      <c r="C584" s="266"/>
      <c r="D584" s="266"/>
      <c r="E584" s="266"/>
      <c r="F584" s="266"/>
      <c r="G584" s="266"/>
      <c r="H584" s="266"/>
      <c r="I584" s="266"/>
      <c r="J584" s="266"/>
      <c r="K584" s="266"/>
      <c r="L584" s="266"/>
      <c r="M584" s="266"/>
      <c r="N584" s="266"/>
      <c r="O584" s="266"/>
      <c r="P584" s="266"/>
      <c r="Q584" s="266"/>
      <c r="R584" s="266"/>
      <c r="S584" s="216"/>
      <c r="T584" s="216"/>
      <c r="U584" s="217"/>
      <c r="V584" s="216"/>
      <c r="W584" s="216"/>
      <c r="X584" s="216"/>
      <c r="Y584" s="216"/>
      <c r="Z584" s="216"/>
      <c r="AA584" s="216"/>
      <c r="AB584" s="216"/>
      <c r="AC584" s="216"/>
      <c r="AD584" s="216"/>
      <c r="AE584" s="216"/>
      <c r="AF584" s="216"/>
      <c r="AG584" s="216"/>
      <c r="AH584" s="216"/>
      <c r="AI584" s="216"/>
      <c r="AJ584" s="216"/>
      <c r="AK584" s="216"/>
      <c r="AL584" s="216"/>
      <c r="AM584" s="216"/>
      <c r="AN584" s="216"/>
    </row>
    <row r="585">
      <c r="B585" s="267"/>
      <c r="C585" s="266"/>
      <c r="D585" s="266"/>
      <c r="E585" s="266"/>
      <c r="F585" s="266"/>
      <c r="G585" s="266"/>
      <c r="H585" s="266"/>
      <c r="I585" s="266"/>
      <c r="J585" s="266"/>
      <c r="K585" s="266"/>
      <c r="L585" s="266"/>
      <c r="M585" s="266"/>
      <c r="N585" s="266"/>
      <c r="O585" s="266"/>
      <c r="P585" s="266"/>
      <c r="Q585" s="266"/>
      <c r="R585" s="266"/>
      <c r="S585" s="216"/>
      <c r="T585" s="216"/>
      <c r="U585" s="217"/>
      <c r="V585" s="216"/>
      <c r="W585" s="216"/>
      <c r="X585" s="216"/>
      <c r="Y585" s="216"/>
      <c r="Z585" s="216"/>
      <c r="AA585" s="216"/>
      <c r="AB585" s="216"/>
      <c r="AC585" s="216"/>
      <c r="AD585" s="216"/>
      <c r="AE585" s="216"/>
      <c r="AF585" s="216"/>
      <c r="AG585" s="216"/>
      <c r="AH585" s="216"/>
      <c r="AI585" s="216"/>
      <c r="AJ585" s="216"/>
      <c r="AK585" s="216"/>
      <c r="AL585" s="216"/>
      <c r="AM585" s="216"/>
      <c r="AN585" s="216"/>
    </row>
    <row r="586">
      <c r="B586" s="267"/>
      <c r="C586" s="266"/>
      <c r="D586" s="266"/>
      <c r="E586" s="266"/>
      <c r="F586" s="266"/>
      <c r="G586" s="266"/>
      <c r="H586" s="266"/>
      <c r="I586" s="266"/>
      <c r="J586" s="266"/>
      <c r="K586" s="266"/>
      <c r="L586" s="266"/>
      <c r="M586" s="266"/>
      <c r="N586" s="266"/>
      <c r="O586" s="266"/>
      <c r="P586" s="266"/>
      <c r="Q586" s="266"/>
      <c r="R586" s="266"/>
      <c r="S586" s="216"/>
      <c r="T586" s="216"/>
      <c r="U586" s="217"/>
      <c r="V586" s="216"/>
      <c r="W586" s="216"/>
      <c r="X586" s="216"/>
      <c r="Y586" s="216"/>
      <c r="Z586" s="216"/>
      <c r="AA586" s="216"/>
      <c r="AB586" s="216"/>
      <c r="AC586" s="216"/>
      <c r="AD586" s="216"/>
      <c r="AE586" s="216"/>
      <c r="AF586" s="216"/>
      <c r="AG586" s="216"/>
      <c r="AH586" s="216"/>
      <c r="AI586" s="216"/>
      <c r="AJ586" s="216"/>
      <c r="AK586" s="216"/>
      <c r="AL586" s="216"/>
      <c r="AM586" s="216"/>
      <c r="AN586" s="216"/>
    </row>
    <row r="587">
      <c r="B587" s="267"/>
      <c r="C587" s="266"/>
      <c r="D587" s="266"/>
      <c r="E587" s="266"/>
      <c r="F587" s="266"/>
      <c r="G587" s="266"/>
      <c r="H587" s="266"/>
      <c r="I587" s="266"/>
      <c r="J587" s="266"/>
      <c r="K587" s="266"/>
      <c r="L587" s="266"/>
      <c r="M587" s="266"/>
      <c r="N587" s="266"/>
      <c r="O587" s="266"/>
      <c r="P587" s="266"/>
      <c r="Q587" s="266"/>
      <c r="R587" s="266"/>
      <c r="S587" s="216"/>
      <c r="T587" s="216"/>
      <c r="U587" s="217"/>
      <c r="V587" s="216"/>
      <c r="W587" s="216"/>
      <c r="X587" s="216"/>
      <c r="Y587" s="216"/>
      <c r="Z587" s="216"/>
      <c r="AA587" s="216"/>
      <c r="AB587" s="216"/>
      <c r="AC587" s="216"/>
      <c r="AD587" s="216"/>
      <c r="AE587" s="216"/>
      <c r="AF587" s="216"/>
      <c r="AG587" s="216"/>
      <c r="AH587" s="216"/>
      <c r="AI587" s="216"/>
      <c r="AJ587" s="216"/>
      <c r="AK587" s="216"/>
      <c r="AL587" s="216"/>
      <c r="AM587" s="216"/>
      <c r="AN587" s="216"/>
    </row>
    <row r="588">
      <c r="B588" s="267"/>
      <c r="C588" s="266"/>
      <c r="D588" s="266"/>
      <c r="E588" s="266"/>
      <c r="F588" s="266"/>
      <c r="G588" s="266"/>
      <c r="H588" s="266"/>
      <c r="I588" s="266"/>
      <c r="J588" s="266"/>
      <c r="K588" s="266"/>
      <c r="L588" s="266"/>
      <c r="M588" s="266"/>
      <c r="N588" s="266"/>
      <c r="O588" s="266"/>
      <c r="P588" s="266"/>
      <c r="Q588" s="266"/>
      <c r="R588" s="266"/>
      <c r="S588" s="216"/>
      <c r="T588" s="216"/>
      <c r="U588" s="217"/>
      <c r="V588" s="216"/>
      <c r="W588" s="216"/>
      <c r="X588" s="216"/>
      <c r="Y588" s="216"/>
      <c r="Z588" s="216"/>
      <c r="AA588" s="216"/>
      <c r="AB588" s="216"/>
      <c r="AC588" s="216"/>
      <c r="AD588" s="216"/>
      <c r="AE588" s="216"/>
      <c r="AF588" s="216"/>
      <c r="AG588" s="216"/>
      <c r="AH588" s="216"/>
      <c r="AI588" s="216"/>
      <c r="AJ588" s="216"/>
      <c r="AK588" s="216"/>
      <c r="AL588" s="216"/>
      <c r="AM588" s="216"/>
      <c r="AN588" s="216"/>
    </row>
    <row r="589">
      <c r="B589" s="267"/>
      <c r="C589" s="266"/>
      <c r="D589" s="266"/>
      <c r="E589" s="266"/>
      <c r="F589" s="266"/>
      <c r="G589" s="266"/>
      <c r="H589" s="266"/>
      <c r="I589" s="266"/>
      <c r="J589" s="266"/>
      <c r="K589" s="266"/>
      <c r="L589" s="266"/>
      <c r="M589" s="266"/>
      <c r="N589" s="266"/>
      <c r="O589" s="266"/>
      <c r="P589" s="266"/>
      <c r="Q589" s="266"/>
      <c r="R589" s="266"/>
      <c r="S589" s="216"/>
      <c r="T589" s="216"/>
      <c r="U589" s="217"/>
      <c r="V589" s="216"/>
      <c r="W589" s="216"/>
      <c r="X589" s="216"/>
      <c r="Y589" s="216"/>
      <c r="Z589" s="216"/>
      <c r="AA589" s="216"/>
      <c r="AB589" s="216"/>
      <c r="AC589" s="216"/>
      <c r="AD589" s="216"/>
      <c r="AE589" s="216"/>
      <c r="AF589" s="216"/>
      <c r="AG589" s="216"/>
      <c r="AH589" s="216"/>
      <c r="AI589" s="216"/>
      <c r="AJ589" s="216"/>
      <c r="AK589" s="216"/>
      <c r="AL589" s="216"/>
      <c r="AM589" s="216"/>
      <c r="AN589" s="216"/>
    </row>
    <row r="590">
      <c r="B590" s="267"/>
      <c r="C590" s="266"/>
      <c r="D590" s="266"/>
      <c r="E590" s="266"/>
      <c r="F590" s="266"/>
      <c r="G590" s="266"/>
      <c r="H590" s="266"/>
      <c r="I590" s="266"/>
      <c r="J590" s="266"/>
      <c r="K590" s="266"/>
      <c r="L590" s="266"/>
      <c r="M590" s="266"/>
      <c r="N590" s="266"/>
      <c r="O590" s="266"/>
      <c r="P590" s="266"/>
      <c r="Q590" s="266"/>
      <c r="R590" s="266"/>
      <c r="S590" s="216"/>
      <c r="T590" s="216"/>
      <c r="U590" s="217"/>
      <c r="V590" s="216"/>
      <c r="W590" s="216"/>
      <c r="X590" s="216"/>
      <c r="Y590" s="216"/>
      <c r="Z590" s="216"/>
      <c r="AA590" s="216"/>
      <c r="AB590" s="216"/>
      <c r="AC590" s="216"/>
      <c r="AD590" s="216"/>
      <c r="AE590" s="216"/>
      <c r="AF590" s="216"/>
      <c r="AG590" s="216"/>
      <c r="AH590" s="216"/>
      <c r="AI590" s="216"/>
      <c r="AJ590" s="216"/>
      <c r="AK590" s="216"/>
      <c r="AL590" s="216"/>
      <c r="AM590" s="216"/>
      <c r="AN590" s="216"/>
    </row>
    <row r="591">
      <c r="B591" s="267"/>
      <c r="C591" s="266"/>
      <c r="D591" s="266"/>
      <c r="E591" s="266"/>
      <c r="F591" s="266"/>
      <c r="G591" s="266"/>
      <c r="H591" s="266"/>
      <c r="I591" s="266"/>
      <c r="J591" s="266"/>
      <c r="K591" s="266"/>
      <c r="L591" s="266"/>
      <c r="M591" s="266"/>
      <c r="N591" s="266"/>
      <c r="O591" s="266"/>
      <c r="P591" s="266"/>
      <c r="Q591" s="266"/>
      <c r="R591" s="266"/>
      <c r="S591" s="216"/>
      <c r="T591" s="216"/>
      <c r="U591" s="217"/>
      <c r="V591" s="216"/>
      <c r="W591" s="216"/>
      <c r="X591" s="216"/>
      <c r="Y591" s="216"/>
      <c r="Z591" s="216"/>
      <c r="AA591" s="216"/>
      <c r="AB591" s="216"/>
      <c r="AC591" s="216"/>
      <c r="AD591" s="216"/>
      <c r="AE591" s="216"/>
      <c r="AF591" s="216"/>
      <c r="AG591" s="216"/>
      <c r="AH591" s="216"/>
      <c r="AI591" s="216"/>
      <c r="AJ591" s="216"/>
      <c r="AK591" s="216"/>
      <c r="AL591" s="216"/>
      <c r="AM591" s="216"/>
      <c r="AN591" s="216"/>
    </row>
    <row r="592">
      <c r="B592" s="267"/>
      <c r="C592" s="266"/>
      <c r="D592" s="266"/>
      <c r="E592" s="266"/>
      <c r="F592" s="266"/>
      <c r="G592" s="266"/>
      <c r="H592" s="266"/>
      <c r="I592" s="266"/>
      <c r="J592" s="266"/>
      <c r="K592" s="266"/>
      <c r="L592" s="266"/>
      <c r="M592" s="266"/>
      <c r="N592" s="266"/>
      <c r="O592" s="266"/>
      <c r="P592" s="266"/>
      <c r="Q592" s="266"/>
      <c r="R592" s="266"/>
      <c r="S592" s="216"/>
      <c r="T592" s="216"/>
      <c r="U592" s="217"/>
      <c r="V592" s="216"/>
      <c r="W592" s="216"/>
      <c r="X592" s="216"/>
      <c r="Y592" s="216"/>
      <c r="Z592" s="216"/>
      <c r="AA592" s="216"/>
      <c r="AB592" s="216"/>
      <c r="AC592" s="216"/>
      <c r="AD592" s="216"/>
      <c r="AE592" s="216"/>
      <c r="AF592" s="216"/>
      <c r="AG592" s="216"/>
      <c r="AH592" s="216"/>
      <c r="AI592" s="216"/>
      <c r="AJ592" s="216"/>
      <c r="AK592" s="216"/>
      <c r="AL592" s="216"/>
      <c r="AM592" s="216"/>
      <c r="AN592" s="216"/>
    </row>
    <row r="593">
      <c r="B593" s="267"/>
      <c r="C593" s="266"/>
      <c r="D593" s="266"/>
      <c r="E593" s="266"/>
      <c r="F593" s="266"/>
      <c r="G593" s="266"/>
      <c r="H593" s="266"/>
      <c r="I593" s="266"/>
      <c r="J593" s="266"/>
      <c r="K593" s="266"/>
      <c r="L593" s="266"/>
      <c r="M593" s="266"/>
      <c r="N593" s="266"/>
      <c r="O593" s="266"/>
      <c r="P593" s="266"/>
      <c r="Q593" s="266"/>
      <c r="R593" s="266"/>
      <c r="S593" s="216"/>
      <c r="T593" s="216"/>
      <c r="U593" s="217"/>
      <c r="V593" s="216"/>
      <c r="W593" s="216"/>
      <c r="X593" s="216"/>
      <c r="Y593" s="216"/>
      <c r="Z593" s="216"/>
      <c r="AA593" s="216"/>
      <c r="AB593" s="216"/>
      <c r="AC593" s="216"/>
      <c r="AD593" s="216"/>
      <c r="AE593" s="216"/>
      <c r="AF593" s="216"/>
      <c r="AG593" s="216"/>
      <c r="AH593" s="216"/>
      <c r="AI593" s="216"/>
      <c r="AJ593" s="216"/>
      <c r="AK593" s="216"/>
      <c r="AL593" s="216"/>
      <c r="AM593" s="216"/>
      <c r="AN593" s="216"/>
    </row>
    <row r="594">
      <c r="B594" s="267"/>
      <c r="C594" s="266"/>
      <c r="D594" s="266"/>
      <c r="E594" s="266"/>
      <c r="F594" s="266"/>
      <c r="G594" s="266"/>
      <c r="H594" s="266"/>
      <c r="I594" s="266"/>
      <c r="J594" s="266"/>
      <c r="K594" s="266"/>
      <c r="L594" s="266"/>
      <c r="M594" s="266"/>
      <c r="N594" s="266"/>
      <c r="O594" s="266"/>
      <c r="P594" s="266"/>
      <c r="Q594" s="266"/>
      <c r="R594" s="266"/>
      <c r="S594" s="216"/>
      <c r="T594" s="216"/>
      <c r="U594" s="217"/>
      <c r="V594" s="216"/>
      <c r="W594" s="216"/>
      <c r="X594" s="216"/>
      <c r="Y594" s="216"/>
      <c r="Z594" s="216"/>
      <c r="AA594" s="216"/>
      <c r="AB594" s="216"/>
      <c r="AC594" s="216"/>
      <c r="AD594" s="216"/>
      <c r="AE594" s="216"/>
      <c r="AF594" s="216"/>
      <c r="AG594" s="216"/>
      <c r="AH594" s="216"/>
      <c r="AI594" s="216"/>
      <c r="AJ594" s="216"/>
      <c r="AK594" s="216"/>
      <c r="AL594" s="216"/>
      <c r="AM594" s="216"/>
      <c r="AN594" s="216"/>
    </row>
    <row r="595">
      <c r="B595" s="267"/>
      <c r="C595" s="266"/>
      <c r="D595" s="266"/>
      <c r="E595" s="266"/>
      <c r="F595" s="266"/>
      <c r="G595" s="266"/>
      <c r="H595" s="266"/>
      <c r="I595" s="266"/>
      <c r="J595" s="266"/>
      <c r="K595" s="266"/>
      <c r="L595" s="266"/>
      <c r="M595" s="266"/>
      <c r="N595" s="266"/>
      <c r="O595" s="266"/>
      <c r="P595" s="266"/>
      <c r="Q595" s="266"/>
      <c r="R595" s="266"/>
      <c r="S595" s="216"/>
      <c r="T595" s="216"/>
      <c r="U595" s="217"/>
      <c r="V595" s="216"/>
      <c r="W595" s="216"/>
      <c r="X595" s="216"/>
      <c r="Y595" s="216"/>
      <c r="Z595" s="216"/>
      <c r="AA595" s="216"/>
      <c r="AB595" s="216"/>
      <c r="AC595" s="216"/>
      <c r="AD595" s="216"/>
      <c r="AE595" s="216"/>
      <c r="AF595" s="216"/>
      <c r="AG595" s="216"/>
      <c r="AH595" s="216"/>
      <c r="AI595" s="216"/>
      <c r="AJ595" s="216"/>
      <c r="AK595" s="216"/>
      <c r="AL595" s="216"/>
      <c r="AM595" s="216"/>
      <c r="AN595" s="216"/>
    </row>
    <row r="596">
      <c r="B596" s="267"/>
      <c r="C596" s="266"/>
      <c r="D596" s="266"/>
      <c r="E596" s="266"/>
      <c r="F596" s="266"/>
      <c r="G596" s="266"/>
      <c r="H596" s="266"/>
      <c r="I596" s="266"/>
      <c r="J596" s="266"/>
      <c r="K596" s="266"/>
      <c r="L596" s="266"/>
      <c r="M596" s="266"/>
      <c r="N596" s="266"/>
      <c r="O596" s="266"/>
      <c r="P596" s="266"/>
      <c r="Q596" s="266"/>
      <c r="R596" s="266"/>
      <c r="S596" s="216"/>
      <c r="T596" s="216"/>
      <c r="U596" s="217"/>
      <c r="V596" s="216"/>
      <c r="W596" s="216"/>
      <c r="X596" s="216"/>
      <c r="Y596" s="216"/>
      <c r="Z596" s="216"/>
      <c r="AA596" s="216"/>
      <c r="AB596" s="216"/>
      <c r="AC596" s="216"/>
      <c r="AD596" s="216"/>
      <c r="AE596" s="216"/>
      <c r="AF596" s="216"/>
      <c r="AG596" s="216"/>
      <c r="AH596" s="216"/>
      <c r="AI596" s="216"/>
      <c r="AJ596" s="216"/>
      <c r="AK596" s="216"/>
      <c r="AL596" s="216"/>
      <c r="AM596" s="216"/>
      <c r="AN596" s="216"/>
    </row>
    <row r="597">
      <c r="B597" s="267"/>
      <c r="C597" s="266"/>
      <c r="D597" s="266"/>
      <c r="E597" s="266"/>
      <c r="F597" s="266"/>
      <c r="G597" s="266"/>
      <c r="H597" s="266"/>
      <c r="I597" s="266"/>
      <c r="J597" s="266"/>
      <c r="K597" s="266"/>
      <c r="L597" s="266"/>
      <c r="M597" s="266"/>
      <c r="N597" s="266"/>
      <c r="O597" s="266"/>
      <c r="P597" s="266"/>
      <c r="Q597" s="266"/>
      <c r="R597" s="266"/>
      <c r="S597" s="216"/>
      <c r="T597" s="216"/>
      <c r="U597" s="217"/>
      <c r="V597" s="216"/>
      <c r="W597" s="216"/>
      <c r="X597" s="216"/>
      <c r="Y597" s="216"/>
      <c r="Z597" s="216"/>
      <c r="AA597" s="216"/>
      <c r="AB597" s="216"/>
      <c r="AC597" s="216"/>
      <c r="AD597" s="216"/>
      <c r="AE597" s="216"/>
      <c r="AF597" s="216"/>
      <c r="AG597" s="216"/>
      <c r="AH597" s="216"/>
      <c r="AI597" s="216"/>
      <c r="AJ597" s="216"/>
      <c r="AK597" s="216"/>
      <c r="AL597" s="216"/>
      <c r="AM597" s="216"/>
      <c r="AN597" s="216"/>
    </row>
    <row r="598">
      <c r="B598" s="267"/>
      <c r="C598" s="266"/>
      <c r="D598" s="266"/>
      <c r="E598" s="266"/>
      <c r="F598" s="266"/>
      <c r="G598" s="266"/>
      <c r="H598" s="266"/>
      <c r="I598" s="266"/>
      <c r="J598" s="266"/>
      <c r="K598" s="266"/>
      <c r="L598" s="266"/>
      <c r="M598" s="266"/>
      <c r="N598" s="266"/>
      <c r="O598" s="266"/>
      <c r="P598" s="266"/>
      <c r="Q598" s="266"/>
      <c r="R598" s="266"/>
      <c r="S598" s="216"/>
      <c r="T598" s="216"/>
      <c r="U598" s="217"/>
      <c r="V598" s="216"/>
      <c r="W598" s="216"/>
      <c r="X598" s="216"/>
      <c r="Y598" s="216"/>
      <c r="Z598" s="216"/>
      <c r="AA598" s="216"/>
      <c r="AB598" s="216"/>
      <c r="AC598" s="216"/>
      <c r="AD598" s="216"/>
      <c r="AE598" s="216"/>
      <c r="AF598" s="216"/>
      <c r="AG598" s="216"/>
      <c r="AH598" s="216"/>
      <c r="AI598" s="216"/>
      <c r="AJ598" s="216"/>
      <c r="AK598" s="216"/>
      <c r="AL598" s="216"/>
      <c r="AM598" s="216"/>
      <c r="AN598" s="216"/>
    </row>
    <row r="599">
      <c r="B599" s="267"/>
      <c r="C599" s="266"/>
      <c r="D599" s="266"/>
      <c r="E599" s="266"/>
      <c r="F599" s="266"/>
      <c r="G599" s="266"/>
      <c r="H599" s="266"/>
      <c r="I599" s="266"/>
      <c r="J599" s="266"/>
      <c r="K599" s="266"/>
      <c r="L599" s="266"/>
      <c r="M599" s="266"/>
      <c r="N599" s="266"/>
      <c r="O599" s="266"/>
      <c r="P599" s="266"/>
      <c r="Q599" s="266"/>
      <c r="R599" s="266"/>
      <c r="S599" s="216"/>
      <c r="T599" s="216"/>
      <c r="U599" s="217"/>
      <c r="V599" s="216"/>
      <c r="W599" s="216"/>
      <c r="X599" s="216"/>
      <c r="Y599" s="216"/>
      <c r="Z599" s="216"/>
      <c r="AA599" s="216"/>
      <c r="AB599" s="216"/>
      <c r="AC599" s="216"/>
      <c r="AD599" s="216"/>
      <c r="AE599" s="216"/>
      <c r="AF599" s="216"/>
      <c r="AG599" s="216"/>
      <c r="AH599" s="216"/>
      <c r="AI599" s="216"/>
      <c r="AJ599" s="216"/>
      <c r="AK599" s="216"/>
      <c r="AL599" s="216"/>
      <c r="AM599" s="216"/>
      <c r="AN599" s="216"/>
    </row>
    <row r="600">
      <c r="B600" s="267"/>
      <c r="C600" s="266"/>
      <c r="D600" s="266"/>
      <c r="E600" s="266"/>
      <c r="F600" s="266"/>
      <c r="G600" s="266"/>
      <c r="H600" s="266"/>
      <c r="I600" s="266"/>
      <c r="J600" s="266"/>
      <c r="K600" s="266"/>
      <c r="L600" s="266"/>
      <c r="M600" s="266"/>
      <c r="N600" s="266"/>
      <c r="O600" s="266"/>
      <c r="P600" s="266"/>
      <c r="Q600" s="266"/>
      <c r="R600" s="266"/>
      <c r="S600" s="216"/>
      <c r="T600" s="216"/>
      <c r="U600" s="217"/>
      <c r="V600" s="216"/>
      <c r="W600" s="216"/>
      <c r="X600" s="216"/>
      <c r="Y600" s="216"/>
      <c r="Z600" s="216"/>
      <c r="AA600" s="216"/>
      <c r="AB600" s="216"/>
      <c r="AC600" s="216"/>
      <c r="AD600" s="216"/>
      <c r="AE600" s="216"/>
      <c r="AF600" s="216"/>
      <c r="AG600" s="216"/>
      <c r="AH600" s="216"/>
      <c r="AI600" s="216"/>
      <c r="AJ600" s="216"/>
      <c r="AK600" s="216"/>
      <c r="AL600" s="216"/>
      <c r="AM600" s="216"/>
      <c r="AN600" s="216"/>
    </row>
    <row r="601">
      <c r="B601" s="267"/>
      <c r="C601" s="266"/>
      <c r="D601" s="266"/>
      <c r="E601" s="266"/>
      <c r="F601" s="266"/>
      <c r="G601" s="266"/>
      <c r="H601" s="266"/>
      <c r="I601" s="266"/>
      <c r="J601" s="266"/>
      <c r="K601" s="266"/>
      <c r="L601" s="266"/>
      <c r="M601" s="266"/>
      <c r="N601" s="266"/>
      <c r="O601" s="266"/>
      <c r="P601" s="266"/>
      <c r="Q601" s="266"/>
      <c r="R601" s="266"/>
      <c r="S601" s="216"/>
      <c r="T601" s="216"/>
      <c r="U601" s="217"/>
      <c r="V601" s="216"/>
      <c r="W601" s="216"/>
      <c r="X601" s="216"/>
      <c r="Y601" s="216"/>
      <c r="Z601" s="216"/>
      <c r="AA601" s="216"/>
      <c r="AB601" s="216"/>
      <c r="AC601" s="216"/>
      <c r="AD601" s="216"/>
      <c r="AE601" s="216"/>
      <c r="AF601" s="216"/>
      <c r="AG601" s="216"/>
      <c r="AH601" s="216"/>
      <c r="AI601" s="216"/>
      <c r="AJ601" s="216"/>
      <c r="AK601" s="216"/>
      <c r="AL601" s="216"/>
      <c r="AM601" s="216"/>
      <c r="AN601" s="216"/>
    </row>
    <row r="602">
      <c r="B602" s="267"/>
      <c r="C602" s="266"/>
      <c r="D602" s="266"/>
      <c r="E602" s="266"/>
      <c r="F602" s="266"/>
      <c r="G602" s="266"/>
      <c r="H602" s="266"/>
      <c r="I602" s="266"/>
      <c r="J602" s="266"/>
      <c r="K602" s="266"/>
      <c r="L602" s="266"/>
      <c r="M602" s="266"/>
      <c r="N602" s="266"/>
      <c r="O602" s="266"/>
      <c r="P602" s="266"/>
      <c r="Q602" s="266"/>
      <c r="R602" s="266"/>
      <c r="S602" s="216"/>
      <c r="T602" s="216"/>
      <c r="U602" s="217"/>
      <c r="V602" s="216"/>
      <c r="W602" s="216"/>
      <c r="X602" s="216"/>
      <c r="Y602" s="216"/>
      <c r="Z602" s="216"/>
      <c r="AA602" s="216"/>
      <c r="AB602" s="216"/>
      <c r="AC602" s="216"/>
      <c r="AD602" s="216"/>
      <c r="AE602" s="216"/>
      <c r="AF602" s="216"/>
      <c r="AG602" s="216"/>
      <c r="AH602" s="216"/>
      <c r="AI602" s="216"/>
      <c r="AJ602" s="216"/>
      <c r="AK602" s="216"/>
      <c r="AL602" s="216"/>
      <c r="AM602" s="216"/>
      <c r="AN602" s="216"/>
    </row>
    <row r="603">
      <c r="B603" s="267"/>
      <c r="C603" s="266"/>
      <c r="D603" s="266"/>
      <c r="E603" s="266"/>
      <c r="F603" s="266"/>
      <c r="G603" s="266"/>
      <c r="H603" s="266"/>
      <c r="I603" s="266"/>
      <c r="J603" s="266"/>
      <c r="K603" s="266"/>
      <c r="L603" s="266"/>
      <c r="M603" s="266"/>
      <c r="N603" s="266"/>
      <c r="O603" s="266"/>
      <c r="P603" s="266"/>
      <c r="Q603" s="266"/>
      <c r="R603" s="266"/>
      <c r="S603" s="216"/>
      <c r="T603" s="216"/>
      <c r="U603" s="217"/>
      <c r="V603" s="216"/>
      <c r="W603" s="216"/>
      <c r="X603" s="216"/>
      <c r="Y603" s="216"/>
      <c r="Z603" s="216"/>
      <c r="AA603" s="216"/>
      <c r="AB603" s="216"/>
      <c r="AC603" s="216"/>
      <c r="AD603" s="216"/>
      <c r="AE603" s="216"/>
      <c r="AF603" s="216"/>
      <c r="AG603" s="216"/>
      <c r="AH603" s="216"/>
      <c r="AI603" s="216"/>
      <c r="AJ603" s="216"/>
      <c r="AK603" s="216"/>
      <c r="AL603" s="216"/>
      <c r="AM603" s="216"/>
      <c r="AN603" s="216"/>
    </row>
    <row r="604">
      <c r="B604" s="267"/>
      <c r="C604" s="266"/>
      <c r="D604" s="266"/>
      <c r="E604" s="266"/>
      <c r="F604" s="266"/>
      <c r="G604" s="266"/>
      <c r="H604" s="266"/>
      <c r="I604" s="266"/>
      <c r="J604" s="266"/>
      <c r="K604" s="266"/>
      <c r="L604" s="266"/>
      <c r="M604" s="266"/>
      <c r="N604" s="266"/>
      <c r="O604" s="266"/>
      <c r="P604" s="266"/>
      <c r="Q604" s="266"/>
      <c r="R604" s="266"/>
      <c r="S604" s="216"/>
      <c r="T604" s="216"/>
      <c r="U604" s="217"/>
      <c r="V604" s="216"/>
      <c r="W604" s="216"/>
      <c r="X604" s="216"/>
      <c r="Y604" s="216"/>
      <c r="Z604" s="216"/>
      <c r="AA604" s="216"/>
      <c r="AB604" s="216"/>
      <c r="AC604" s="216"/>
      <c r="AD604" s="216"/>
      <c r="AE604" s="216"/>
      <c r="AF604" s="216"/>
      <c r="AG604" s="216"/>
      <c r="AH604" s="216"/>
      <c r="AI604" s="216"/>
      <c r="AJ604" s="216"/>
      <c r="AK604" s="216"/>
      <c r="AL604" s="216"/>
      <c r="AM604" s="216"/>
      <c r="AN604" s="216"/>
    </row>
    <row r="605">
      <c r="B605" s="267"/>
      <c r="C605" s="266"/>
      <c r="D605" s="266"/>
      <c r="E605" s="266"/>
      <c r="F605" s="266"/>
      <c r="G605" s="266"/>
      <c r="H605" s="266"/>
      <c r="I605" s="266"/>
      <c r="J605" s="266"/>
      <c r="K605" s="266"/>
      <c r="L605" s="266"/>
      <c r="M605" s="266"/>
      <c r="N605" s="266"/>
      <c r="O605" s="266"/>
      <c r="P605" s="266"/>
      <c r="Q605" s="266"/>
      <c r="R605" s="266"/>
      <c r="S605" s="216"/>
      <c r="T605" s="216"/>
      <c r="U605" s="217"/>
      <c r="V605" s="216"/>
      <c r="W605" s="216"/>
      <c r="X605" s="216"/>
      <c r="Y605" s="216"/>
      <c r="Z605" s="216"/>
      <c r="AA605" s="216"/>
      <c r="AB605" s="216"/>
      <c r="AC605" s="216"/>
      <c r="AD605" s="216"/>
      <c r="AE605" s="216"/>
      <c r="AF605" s="216"/>
      <c r="AG605" s="216"/>
      <c r="AH605" s="216"/>
      <c r="AI605" s="216"/>
      <c r="AJ605" s="216"/>
      <c r="AK605" s="216"/>
      <c r="AL605" s="216"/>
      <c r="AM605" s="216"/>
      <c r="AN605" s="216"/>
    </row>
    <row r="606">
      <c r="B606" s="267"/>
      <c r="C606" s="266"/>
      <c r="D606" s="266"/>
      <c r="E606" s="266"/>
      <c r="F606" s="266"/>
      <c r="G606" s="266"/>
      <c r="H606" s="266"/>
      <c r="I606" s="266"/>
      <c r="J606" s="266"/>
      <c r="K606" s="266"/>
      <c r="L606" s="266"/>
      <c r="M606" s="266"/>
      <c r="N606" s="266"/>
      <c r="O606" s="266"/>
      <c r="P606" s="266"/>
      <c r="Q606" s="266"/>
      <c r="R606" s="266"/>
      <c r="S606" s="216"/>
      <c r="T606" s="216"/>
      <c r="U606" s="217"/>
      <c r="V606" s="216"/>
      <c r="W606" s="216"/>
      <c r="X606" s="216"/>
      <c r="Y606" s="216"/>
      <c r="Z606" s="216"/>
      <c r="AA606" s="216"/>
      <c r="AB606" s="216"/>
      <c r="AC606" s="216"/>
      <c r="AD606" s="216"/>
      <c r="AE606" s="216"/>
      <c r="AF606" s="216"/>
      <c r="AG606" s="216"/>
      <c r="AH606" s="216"/>
      <c r="AI606" s="216"/>
      <c r="AJ606" s="216"/>
      <c r="AK606" s="216"/>
      <c r="AL606" s="216"/>
      <c r="AM606" s="216"/>
      <c r="AN606" s="216"/>
    </row>
    <row r="607">
      <c r="B607" s="267"/>
      <c r="C607" s="266"/>
      <c r="D607" s="266"/>
      <c r="E607" s="266"/>
      <c r="F607" s="266"/>
      <c r="G607" s="266"/>
      <c r="H607" s="266"/>
      <c r="I607" s="266"/>
      <c r="J607" s="266"/>
      <c r="K607" s="266"/>
      <c r="L607" s="266"/>
      <c r="M607" s="266"/>
      <c r="N607" s="266"/>
      <c r="O607" s="266"/>
      <c r="P607" s="266"/>
      <c r="Q607" s="266"/>
      <c r="R607" s="266"/>
      <c r="S607" s="216"/>
      <c r="T607" s="216"/>
      <c r="U607" s="217"/>
      <c r="V607" s="216"/>
      <c r="W607" s="216"/>
      <c r="X607" s="216"/>
      <c r="Y607" s="216"/>
      <c r="Z607" s="216"/>
      <c r="AA607" s="216"/>
      <c r="AB607" s="216"/>
      <c r="AC607" s="216"/>
      <c r="AD607" s="216"/>
      <c r="AE607" s="216"/>
      <c r="AF607" s="216"/>
      <c r="AG607" s="216"/>
      <c r="AH607" s="216"/>
      <c r="AI607" s="216"/>
      <c r="AJ607" s="216"/>
      <c r="AK607" s="216"/>
      <c r="AL607" s="216"/>
      <c r="AM607" s="216"/>
      <c r="AN607" s="216"/>
    </row>
    <row r="608">
      <c r="B608" s="267"/>
      <c r="C608" s="266"/>
      <c r="D608" s="266"/>
      <c r="E608" s="266"/>
      <c r="F608" s="266"/>
      <c r="G608" s="266"/>
      <c r="H608" s="266"/>
      <c r="I608" s="266"/>
      <c r="J608" s="266"/>
      <c r="K608" s="266"/>
      <c r="L608" s="266"/>
      <c r="M608" s="266"/>
      <c r="N608" s="266"/>
      <c r="O608" s="266"/>
      <c r="P608" s="266"/>
      <c r="Q608" s="266"/>
      <c r="R608" s="266"/>
      <c r="S608" s="216"/>
      <c r="T608" s="216"/>
      <c r="U608" s="217"/>
      <c r="V608" s="216"/>
      <c r="W608" s="216"/>
      <c r="X608" s="216"/>
      <c r="Y608" s="216"/>
      <c r="Z608" s="216"/>
      <c r="AA608" s="216"/>
      <c r="AB608" s="216"/>
      <c r="AC608" s="216"/>
      <c r="AD608" s="216"/>
      <c r="AE608" s="216"/>
      <c r="AF608" s="216"/>
      <c r="AG608" s="216"/>
      <c r="AH608" s="216"/>
      <c r="AI608" s="216"/>
      <c r="AJ608" s="216"/>
      <c r="AK608" s="216"/>
      <c r="AL608" s="216"/>
      <c r="AM608" s="216"/>
      <c r="AN608" s="216"/>
    </row>
    <row r="609">
      <c r="B609" s="267"/>
      <c r="C609" s="266"/>
      <c r="D609" s="266"/>
      <c r="E609" s="266"/>
      <c r="F609" s="266"/>
      <c r="G609" s="266"/>
      <c r="H609" s="266"/>
      <c r="I609" s="266"/>
      <c r="J609" s="266"/>
      <c r="K609" s="266"/>
      <c r="L609" s="266"/>
      <c r="M609" s="266"/>
      <c r="N609" s="266"/>
      <c r="O609" s="266"/>
      <c r="P609" s="266"/>
      <c r="Q609" s="266"/>
      <c r="R609" s="266"/>
      <c r="S609" s="216"/>
      <c r="T609" s="216"/>
      <c r="U609" s="217"/>
      <c r="V609" s="216"/>
      <c r="W609" s="216"/>
      <c r="X609" s="216"/>
      <c r="Y609" s="216"/>
      <c r="Z609" s="216"/>
      <c r="AA609" s="216"/>
      <c r="AB609" s="216"/>
      <c r="AC609" s="216"/>
      <c r="AD609" s="216"/>
      <c r="AE609" s="216"/>
      <c r="AF609" s="216"/>
      <c r="AG609" s="216"/>
      <c r="AH609" s="216"/>
      <c r="AI609" s="216"/>
      <c r="AJ609" s="216"/>
      <c r="AK609" s="216"/>
      <c r="AL609" s="216"/>
      <c r="AM609" s="216"/>
      <c r="AN609" s="216"/>
    </row>
    <row r="610">
      <c r="B610" s="267"/>
      <c r="C610" s="266"/>
      <c r="D610" s="266"/>
      <c r="E610" s="266"/>
      <c r="F610" s="266"/>
      <c r="G610" s="266"/>
      <c r="H610" s="266"/>
      <c r="I610" s="266"/>
      <c r="J610" s="266"/>
      <c r="K610" s="266"/>
      <c r="L610" s="266"/>
      <c r="M610" s="266"/>
      <c r="N610" s="266"/>
      <c r="O610" s="266"/>
      <c r="P610" s="266"/>
      <c r="Q610" s="266"/>
      <c r="R610" s="266"/>
      <c r="S610" s="216"/>
      <c r="T610" s="216"/>
      <c r="U610" s="217"/>
      <c r="V610" s="216"/>
      <c r="W610" s="216"/>
      <c r="X610" s="216"/>
      <c r="Y610" s="216"/>
      <c r="Z610" s="216"/>
      <c r="AA610" s="216"/>
      <c r="AB610" s="216"/>
      <c r="AC610" s="216"/>
      <c r="AD610" s="216"/>
      <c r="AE610" s="216"/>
      <c r="AF610" s="216"/>
      <c r="AG610" s="216"/>
      <c r="AH610" s="216"/>
      <c r="AI610" s="216"/>
      <c r="AJ610" s="216"/>
      <c r="AK610" s="216"/>
      <c r="AL610" s="216"/>
      <c r="AM610" s="216"/>
      <c r="AN610" s="216"/>
    </row>
    <row r="611">
      <c r="B611" s="267"/>
      <c r="C611" s="266"/>
      <c r="D611" s="266"/>
      <c r="E611" s="266"/>
      <c r="F611" s="266"/>
      <c r="G611" s="266"/>
      <c r="H611" s="266"/>
      <c r="I611" s="266"/>
      <c r="J611" s="266"/>
      <c r="K611" s="266"/>
      <c r="L611" s="266"/>
      <c r="M611" s="266"/>
      <c r="N611" s="266"/>
      <c r="O611" s="266"/>
      <c r="P611" s="266"/>
      <c r="Q611" s="266"/>
      <c r="R611" s="266"/>
      <c r="S611" s="216"/>
      <c r="T611" s="216"/>
      <c r="U611" s="217"/>
      <c r="V611" s="216"/>
      <c r="W611" s="216"/>
      <c r="X611" s="216"/>
      <c r="Y611" s="216"/>
      <c r="Z611" s="216"/>
      <c r="AA611" s="216"/>
      <c r="AB611" s="216"/>
      <c r="AC611" s="216"/>
      <c r="AD611" s="216"/>
      <c r="AE611" s="216"/>
      <c r="AF611" s="216"/>
      <c r="AG611" s="216"/>
      <c r="AH611" s="216"/>
      <c r="AI611" s="216"/>
      <c r="AJ611" s="216"/>
      <c r="AK611" s="216"/>
      <c r="AL611" s="216"/>
      <c r="AM611" s="216"/>
      <c r="AN611" s="216"/>
    </row>
    <row r="612">
      <c r="B612" s="267"/>
      <c r="C612" s="266"/>
      <c r="D612" s="266"/>
      <c r="E612" s="266"/>
      <c r="F612" s="266"/>
      <c r="G612" s="266"/>
      <c r="H612" s="266"/>
      <c r="I612" s="266"/>
      <c r="J612" s="266"/>
      <c r="K612" s="266"/>
      <c r="L612" s="266"/>
      <c r="M612" s="266"/>
      <c r="N612" s="266"/>
      <c r="O612" s="266"/>
      <c r="P612" s="266"/>
      <c r="Q612" s="266"/>
      <c r="R612" s="266"/>
      <c r="S612" s="216"/>
      <c r="T612" s="216"/>
      <c r="U612" s="217"/>
      <c r="V612" s="216"/>
      <c r="W612" s="216"/>
      <c r="X612" s="216"/>
      <c r="Y612" s="216"/>
      <c r="Z612" s="216"/>
      <c r="AA612" s="216"/>
      <c r="AB612" s="216"/>
      <c r="AC612" s="216"/>
      <c r="AD612" s="216"/>
      <c r="AE612" s="216"/>
      <c r="AF612" s="216"/>
      <c r="AG612" s="216"/>
      <c r="AH612" s="216"/>
      <c r="AI612" s="216"/>
      <c r="AJ612" s="216"/>
      <c r="AK612" s="216"/>
      <c r="AL612" s="216"/>
      <c r="AM612" s="216"/>
      <c r="AN612" s="216"/>
    </row>
    <row r="613">
      <c r="B613" s="267"/>
      <c r="C613" s="266"/>
      <c r="D613" s="266"/>
      <c r="E613" s="266"/>
      <c r="F613" s="266"/>
      <c r="G613" s="266"/>
      <c r="H613" s="266"/>
      <c r="I613" s="266"/>
      <c r="J613" s="266"/>
      <c r="K613" s="266"/>
      <c r="L613" s="266"/>
      <c r="M613" s="266"/>
      <c r="N613" s="266"/>
      <c r="O613" s="266"/>
      <c r="P613" s="266"/>
      <c r="Q613" s="266"/>
      <c r="R613" s="266"/>
      <c r="S613" s="216"/>
      <c r="T613" s="216"/>
      <c r="U613" s="217"/>
      <c r="V613" s="216"/>
      <c r="W613" s="216"/>
      <c r="X613" s="216"/>
      <c r="Y613" s="216"/>
      <c r="Z613" s="216"/>
      <c r="AA613" s="216"/>
      <c r="AB613" s="216"/>
      <c r="AC613" s="216"/>
      <c r="AD613" s="216"/>
      <c r="AE613" s="216"/>
      <c r="AF613" s="216"/>
      <c r="AG613" s="216"/>
      <c r="AH613" s="216"/>
      <c r="AI613" s="216"/>
      <c r="AJ613" s="216"/>
      <c r="AK613" s="216"/>
      <c r="AL613" s="216"/>
      <c r="AM613" s="216"/>
      <c r="AN613" s="216"/>
    </row>
    <row r="614">
      <c r="B614" s="267"/>
      <c r="C614" s="266"/>
      <c r="D614" s="266"/>
      <c r="E614" s="266"/>
      <c r="F614" s="266"/>
      <c r="G614" s="266"/>
      <c r="H614" s="266"/>
      <c r="I614" s="266"/>
      <c r="J614" s="266"/>
      <c r="K614" s="266"/>
      <c r="L614" s="266"/>
      <c r="M614" s="266"/>
      <c r="N614" s="266"/>
      <c r="O614" s="266"/>
      <c r="P614" s="266"/>
      <c r="Q614" s="266"/>
      <c r="R614" s="266"/>
      <c r="S614" s="216"/>
      <c r="T614" s="216"/>
      <c r="U614" s="217"/>
      <c r="V614" s="216"/>
      <c r="W614" s="216"/>
      <c r="X614" s="216"/>
      <c r="Y614" s="216"/>
      <c r="Z614" s="216"/>
      <c r="AA614" s="216"/>
      <c r="AB614" s="216"/>
      <c r="AC614" s="216"/>
      <c r="AD614" s="216"/>
      <c r="AE614" s="216"/>
      <c r="AF614" s="216"/>
      <c r="AG614" s="216"/>
      <c r="AH614" s="216"/>
      <c r="AI614" s="216"/>
      <c r="AJ614" s="216"/>
      <c r="AK614" s="216"/>
      <c r="AL614" s="216"/>
      <c r="AM614" s="216"/>
      <c r="AN614" s="216"/>
    </row>
    <row r="615">
      <c r="B615" s="267"/>
      <c r="C615" s="266"/>
      <c r="D615" s="266"/>
      <c r="E615" s="266"/>
      <c r="F615" s="266"/>
      <c r="G615" s="266"/>
      <c r="H615" s="266"/>
      <c r="I615" s="266"/>
      <c r="J615" s="266"/>
      <c r="K615" s="266"/>
      <c r="L615" s="266"/>
      <c r="M615" s="266"/>
      <c r="N615" s="266"/>
      <c r="O615" s="266"/>
      <c r="P615" s="266"/>
      <c r="Q615" s="266"/>
      <c r="R615" s="266"/>
      <c r="S615" s="216"/>
      <c r="T615" s="216"/>
      <c r="U615" s="217"/>
      <c r="V615" s="216"/>
      <c r="W615" s="216"/>
      <c r="X615" s="216"/>
      <c r="Y615" s="216"/>
      <c r="Z615" s="216"/>
      <c r="AA615" s="216"/>
      <c r="AB615" s="216"/>
      <c r="AC615" s="216"/>
      <c r="AD615" s="216"/>
      <c r="AE615" s="216"/>
      <c r="AF615" s="216"/>
      <c r="AG615" s="216"/>
      <c r="AH615" s="216"/>
      <c r="AI615" s="216"/>
      <c r="AJ615" s="216"/>
      <c r="AK615" s="216"/>
      <c r="AL615" s="216"/>
      <c r="AM615" s="216"/>
      <c r="AN615" s="216"/>
    </row>
    <row r="616">
      <c r="B616" s="267"/>
      <c r="C616" s="266"/>
      <c r="D616" s="266"/>
      <c r="E616" s="266"/>
      <c r="F616" s="266"/>
      <c r="G616" s="266"/>
      <c r="H616" s="266"/>
      <c r="I616" s="266"/>
      <c r="J616" s="266"/>
      <c r="K616" s="266"/>
      <c r="L616" s="266"/>
      <c r="M616" s="266"/>
      <c r="N616" s="266"/>
      <c r="O616" s="266"/>
      <c r="P616" s="266"/>
      <c r="Q616" s="266"/>
      <c r="R616" s="266"/>
      <c r="S616" s="216"/>
      <c r="T616" s="216"/>
      <c r="U616" s="217"/>
      <c r="V616" s="216"/>
      <c r="W616" s="216"/>
      <c r="X616" s="216"/>
      <c r="Y616" s="216"/>
      <c r="Z616" s="216"/>
      <c r="AA616" s="216"/>
      <c r="AB616" s="216"/>
      <c r="AC616" s="216"/>
      <c r="AD616" s="216"/>
      <c r="AE616" s="216"/>
      <c r="AF616" s="216"/>
      <c r="AG616" s="216"/>
      <c r="AH616" s="216"/>
      <c r="AI616" s="216"/>
      <c r="AJ616" s="216"/>
      <c r="AK616" s="216"/>
      <c r="AL616" s="216"/>
      <c r="AM616" s="216"/>
      <c r="AN616" s="216"/>
    </row>
    <row r="617">
      <c r="B617" s="267"/>
      <c r="C617" s="266"/>
      <c r="D617" s="266"/>
      <c r="E617" s="266"/>
      <c r="F617" s="266"/>
      <c r="G617" s="266"/>
      <c r="H617" s="266"/>
      <c r="I617" s="266"/>
      <c r="J617" s="266"/>
      <c r="K617" s="266"/>
      <c r="L617" s="266"/>
      <c r="M617" s="266"/>
      <c r="N617" s="266"/>
      <c r="O617" s="266"/>
      <c r="P617" s="266"/>
      <c r="Q617" s="266"/>
      <c r="R617" s="266"/>
      <c r="S617" s="216"/>
      <c r="T617" s="216"/>
      <c r="U617" s="217"/>
      <c r="V617" s="216"/>
      <c r="W617" s="216"/>
      <c r="X617" s="216"/>
      <c r="Y617" s="216"/>
      <c r="Z617" s="216"/>
      <c r="AA617" s="216"/>
      <c r="AB617" s="216"/>
      <c r="AC617" s="216"/>
      <c r="AD617" s="216"/>
      <c r="AE617" s="216"/>
      <c r="AF617" s="216"/>
      <c r="AG617" s="216"/>
      <c r="AH617" s="216"/>
      <c r="AI617" s="216"/>
      <c r="AJ617" s="216"/>
      <c r="AK617" s="216"/>
      <c r="AL617" s="216"/>
      <c r="AM617" s="216"/>
      <c r="AN617" s="216"/>
    </row>
    <row r="618">
      <c r="B618" s="267"/>
      <c r="C618" s="266"/>
      <c r="D618" s="266"/>
      <c r="E618" s="266"/>
      <c r="F618" s="266"/>
      <c r="G618" s="266"/>
      <c r="H618" s="266"/>
      <c r="I618" s="266"/>
      <c r="J618" s="266"/>
      <c r="K618" s="266"/>
      <c r="L618" s="266"/>
      <c r="M618" s="266"/>
      <c r="N618" s="266"/>
      <c r="O618" s="266"/>
      <c r="P618" s="266"/>
      <c r="Q618" s="266"/>
      <c r="R618" s="266"/>
      <c r="S618" s="216"/>
      <c r="T618" s="216"/>
      <c r="U618" s="217"/>
      <c r="V618" s="216"/>
      <c r="W618" s="216"/>
      <c r="X618" s="216"/>
      <c r="Y618" s="216"/>
      <c r="Z618" s="216"/>
      <c r="AA618" s="216"/>
      <c r="AB618" s="216"/>
      <c r="AC618" s="216"/>
      <c r="AD618" s="216"/>
      <c r="AE618" s="216"/>
      <c r="AF618" s="216"/>
      <c r="AG618" s="216"/>
      <c r="AH618" s="216"/>
      <c r="AI618" s="216"/>
      <c r="AJ618" s="216"/>
      <c r="AK618" s="216"/>
      <c r="AL618" s="216"/>
      <c r="AM618" s="216"/>
      <c r="AN618" s="216"/>
    </row>
    <row r="619">
      <c r="B619" s="267"/>
      <c r="C619" s="266"/>
      <c r="D619" s="266"/>
      <c r="E619" s="266"/>
      <c r="F619" s="266"/>
      <c r="G619" s="266"/>
      <c r="H619" s="266"/>
      <c r="I619" s="266"/>
      <c r="J619" s="266"/>
      <c r="K619" s="266"/>
      <c r="L619" s="266"/>
      <c r="M619" s="266"/>
      <c r="N619" s="266"/>
      <c r="O619" s="266"/>
      <c r="P619" s="266"/>
      <c r="Q619" s="266"/>
      <c r="R619" s="266"/>
      <c r="S619" s="216"/>
      <c r="T619" s="216"/>
      <c r="U619" s="217"/>
      <c r="V619" s="216"/>
      <c r="W619" s="216"/>
      <c r="X619" s="216"/>
      <c r="Y619" s="216"/>
      <c r="Z619" s="216"/>
      <c r="AA619" s="216"/>
      <c r="AB619" s="216"/>
      <c r="AC619" s="216"/>
      <c r="AD619" s="216"/>
      <c r="AE619" s="216"/>
      <c r="AF619" s="216"/>
      <c r="AG619" s="216"/>
      <c r="AH619" s="216"/>
      <c r="AI619" s="216"/>
      <c r="AJ619" s="216"/>
      <c r="AK619" s="216"/>
      <c r="AL619" s="216"/>
      <c r="AM619" s="216"/>
      <c r="AN619" s="216"/>
    </row>
    <row r="620">
      <c r="B620" s="267"/>
      <c r="C620" s="266"/>
      <c r="D620" s="266"/>
      <c r="E620" s="266"/>
      <c r="F620" s="266"/>
      <c r="G620" s="266"/>
      <c r="H620" s="266"/>
      <c r="I620" s="266"/>
      <c r="J620" s="266"/>
      <c r="K620" s="266"/>
      <c r="L620" s="266"/>
      <c r="M620" s="266"/>
      <c r="N620" s="266"/>
      <c r="O620" s="266"/>
      <c r="P620" s="266"/>
      <c r="Q620" s="266"/>
      <c r="R620" s="266"/>
      <c r="S620" s="216"/>
      <c r="T620" s="216"/>
      <c r="U620" s="217"/>
      <c r="V620" s="216"/>
      <c r="W620" s="216"/>
      <c r="X620" s="216"/>
      <c r="Y620" s="216"/>
      <c r="Z620" s="216"/>
      <c r="AA620" s="216"/>
      <c r="AB620" s="216"/>
      <c r="AC620" s="216"/>
      <c r="AD620" s="216"/>
      <c r="AE620" s="216"/>
      <c r="AF620" s="216"/>
      <c r="AG620" s="216"/>
      <c r="AH620" s="216"/>
      <c r="AI620" s="216"/>
      <c r="AJ620" s="216"/>
      <c r="AK620" s="216"/>
      <c r="AL620" s="216"/>
      <c r="AM620" s="216"/>
      <c r="AN620" s="216"/>
    </row>
    <row r="621">
      <c r="B621" s="267"/>
      <c r="C621" s="266"/>
      <c r="D621" s="266"/>
      <c r="E621" s="266"/>
      <c r="F621" s="266"/>
      <c r="G621" s="266"/>
      <c r="H621" s="266"/>
      <c r="I621" s="266"/>
      <c r="J621" s="266"/>
      <c r="K621" s="266"/>
      <c r="L621" s="266"/>
      <c r="M621" s="266"/>
      <c r="N621" s="266"/>
      <c r="O621" s="266"/>
      <c r="P621" s="266"/>
      <c r="Q621" s="266"/>
      <c r="R621" s="266"/>
      <c r="S621" s="216"/>
      <c r="T621" s="216"/>
      <c r="U621" s="217"/>
      <c r="V621" s="216"/>
      <c r="W621" s="216"/>
      <c r="X621" s="216"/>
      <c r="Y621" s="216"/>
      <c r="Z621" s="216"/>
      <c r="AA621" s="216"/>
      <c r="AB621" s="216"/>
      <c r="AC621" s="216"/>
      <c r="AD621" s="216"/>
      <c r="AE621" s="216"/>
      <c r="AF621" s="216"/>
      <c r="AG621" s="216"/>
      <c r="AH621" s="216"/>
      <c r="AI621" s="216"/>
      <c r="AJ621" s="216"/>
      <c r="AK621" s="216"/>
      <c r="AL621" s="216"/>
      <c r="AM621" s="216"/>
      <c r="AN621" s="216"/>
    </row>
    <row r="622">
      <c r="B622" s="267"/>
      <c r="C622" s="266"/>
      <c r="D622" s="266"/>
      <c r="E622" s="266"/>
      <c r="F622" s="266"/>
      <c r="G622" s="266"/>
      <c r="H622" s="266"/>
      <c r="I622" s="266"/>
      <c r="J622" s="266"/>
      <c r="K622" s="266"/>
      <c r="L622" s="266"/>
      <c r="M622" s="266"/>
      <c r="N622" s="266"/>
      <c r="O622" s="266"/>
      <c r="P622" s="266"/>
      <c r="Q622" s="266"/>
      <c r="R622" s="266"/>
      <c r="S622" s="216"/>
      <c r="T622" s="216"/>
      <c r="U622" s="217"/>
      <c r="V622" s="216"/>
      <c r="W622" s="216"/>
      <c r="X622" s="216"/>
      <c r="Y622" s="216"/>
      <c r="Z622" s="216"/>
      <c r="AA622" s="216"/>
      <c r="AB622" s="216"/>
      <c r="AC622" s="216"/>
      <c r="AD622" s="216"/>
      <c r="AE622" s="216"/>
      <c r="AF622" s="216"/>
      <c r="AG622" s="216"/>
      <c r="AH622" s="216"/>
      <c r="AI622" s="216"/>
      <c r="AJ622" s="216"/>
      <c r="AK622" s="216"/>
      <c r="AL622" s="216"/>
      <c r="AM622" s="216"/>
      <c r="AN622" s="216"/>
    </row>
    <row r="623">
      <c r="B623" s="267"/>
      <c r="C623" s="266"/>
      <c r="D623" s="266"/>
      <c r="E623" s="266"/>
      <c r="F623" s="266"/>
      <c r="G623" s="266"/>
      <c r="H623" s="266"/>
      <c r="I623" s="266"/>
      <c r="J623" s="266"/>
      <c r="K623" s="266"/>
      <c r="L623" s="266"/>
      <c r="M623" s="266"/>
      <c r="N623" s="266"/>
      <c r="O623" s="266"/>
      <c r="P623" s="266"/>
      <c r="Q623" s="266"/>
      <c r="R623" s="266"/>
      <c r="S623" s="216"/>
      <c r="T623" s="216"/>
      <c r="U623" s="217"/>
      <c r="V623" s="216"/>
      <c r="W623" s="216"/>
      <c r="X623" s="216"/>
      <c r="Y623" s="216"/>
      <c r="Z623" s="216"/>
      <c r="AA623" s="216"/>
      <c r="AB623" s="216"/>
      <c r="AC623" s="216"/>
      <c r="AD623" s="216"/>
      <c r="AE623" s="216"/>
      <c r="AF623" s="216"/>
      <c r="AG623" s="216"/>
      <c r="AH623" s="216"/>
      <c r="AI623" s="216"/>
      <c r="AJ623" s="216"/>
      <c r="AK623" s="216"/>
      <c r="AL623" s="216"/>
      <c r="AM623" s="216"/>
      <c r="AN623" s="216"/>
    </row>
    <row r="624">
      <c r="B624" s="267"/>
      <c r="C624" s="266"/>
      <c r="D624" s="266"/>
      <c r="E624" s="266"/>
      <c r="F624" s="266"/>
      <c r="G624" s="266"/>
      <c r="H624" s="266"/>
      <c r="I624" s="266"/>
      <c r="J624" s="266"/>
      <c r="K624" s="266"/>
      <c r="L624" s="266"/>
      <c r="M624" s="266"/>
      <c r="N624" s="266"/>
      <c r="O624" s="266"/>
      <c r="P624" s="266"/>
      <c r="Q624" s="266"/>
      <c r="R624" s="266"/>
      <c r="S624" s="216"/>
      <c r="T624" s="216"/>
      <c r="U624" s="217"/>
      <c r="V624" s="216"/>
      <c r="W624" s="216"/>
      <c r="X624" s="216"/>
      <c r="Y624" s="216"/>
      <c r="Z624" s="216"/>
      <c r="AA624" s="216"/>
      <c r="AB624" s="216"/>
      <c r="AC624" s="216"/>
      <c r="AD624" s="216"/>
      <c r="AE624" s="216"/>
      <c r="AF624" s="216"/>
      <c r="AG624" s="216"/>
      <c r="AH624" s="216"/>
      <c r="AI624" s="216"/>
      <c r="AJ624" s="216"/>
      <c r="AK624" s="216"/>
      <c r="AL624" s="216"/>
      <c r="AM624" s="216"/>
      <c r="AN624" s="216"/>
    </row>
    <row r="625">
      <c r="B625" s="267"/>
      <c r="C625" s="266"/>
      <c r="D625" s="266"/>
      <c r="E625" s="266"/>
      <c r="F625" s="266"/>
      <c r="G625" s="266"/>
      <c r="H625" s="266"/>
      <c r="I625" s="266"/>
      <c r="J625" s="266"/>
      <c r="K625" s="266"/>
      <c r="L625" s="266"/>
      <c r="M625" s="266"/>
      <c r="N625" s="266"/>
      <c r="O625" s="266"/>
      <c r="P625" s="266"/>
      <c r="Q625" s="266"/>
      <c r="R625" s="266"/>
      <c r="S625" s="216"/>
      <c r="T625" s="216"/>
      <c r="U625" s="217"/>
      <c r="V625" s="216"/>
      <c r="W625" s="216"/>
      <c r="X625" s="216"/>
      <c r="Y625" s="216"/>
      <c r="Z625" s="216"/>
      <c r="AA625" s="216"/>
      <c r="AB625" s="216"/>
      <c r="AC625" s="216"/>
      <c r="AD625" s="216"/>
      <c r="AE625" s="216"/>
      <c r="AF625" s="216"/>
      <c r="AG625" s="216"/>
      <c r="AH625" s="216"/>
      <c r="AI625" s="216"/>
      <c r="AJ625" s="216"/>
      <c r="AK625" s="216"/>
      <c r="AL625" s="216"/>
      <c r="AM625" s="216"/>
      <c r="AN625" s="216"/>
    </row>
    <row r="626">
      <c r="B626" s="267"/>
      <c r="C626" s="266"/>
      <c r="D626" s="266"/>
      <c r="E626" s="266"/>
      <c r="F626" s="266"/>
      <c r="G626" s="266"/>
      <c r="H626" s="266"/>
      <c r="I626" s="266"/>
      <c r="J626" s="266"/>
      <c r="K626" s="266"/>
      <c r="L626" s="266"/>
      <c r="M626" s="266"/>
      <c r="N626" s="266"/>
      <c r="O626" s="266"/>
      <c r="P626" s="266"/>
      <c r="Q626" s="266"/>
      <c r="R626" s="266"/>
      <c r="S626" s="216"/>
      <c r="T626" s="216"/>
      <c r="U626" s="217"/>
      <c r="V626" s="216"/>
      <c r="W626" s="216"/>
      <c r="X626" s="216"/>
      <c r="Y626" s="216"/>
      <c r="Z626" s="216"/>
      <c r="AA626" s="216"/>
      <c r="AB626" s="216"/>
      <c r="AC626" s="216"/>
      <c r="AD626" s="216"/>
      <c r="AE626" s="216"/>
      <c r="AF626" s="216"/>
      <c r="AG626" s="216"/>
      <c r="AH626" s="216"/>
      <c r="AI626" s="216"/>
      <c r="AJ626" s="216"/>
      <c r="AK626" s="216"/>
      <c r="AL626" s="216"/>
      <c r="AM626" s="216"/>
      <c r="AN626" s="216"/>
    </row>
    <row r="627">
      <c r="B627" s="267"/>
      <c r="C627" s="266"/>
      <c r="D627" s="266"/>
      <c r="E627" s="266"/>
      <c r="F627" s="266"/>
      <c r="G627" s="266"/>
      <c r="H627" s="266"/>
      <c r="I627" s="266"/>
      <c r="J627" s="266"/>
      <c r="K627" s="266"/>
      <c r="L627" s="266"/>
      <c r="M627" s="266"/>
      <c r="N627" s="266"/>
      <c r="O627" s="266"/>
      <c r="P627" s="266"/>
      <c r="Q627" s="266"/>
      <c r="R627" s="266"/>
      <c r="S627" s="216"/>
      <c r="T627" s="216"/>
      <c r="U627" s="217"/>
      <c r="V627" s="216"/>
      <c r="W627" s="216"/>
      <c r="X627" s="216"/>
      <c r="Y627" s="216"/>
      <c r="Z627" s="216"/>
      <c r="AA627" s="216"/>
      <c r="AB627" s="216"/>
      <c r="AC627" s="216"/>
      <c r="AD627" s="216"/>
      <c r="AE627" s="216"/>
      <c r="AF627" s="216"/>
      <c r="AG627" s="216"/>
      <c r="AH627" s="216"/>
      <c r="AI627" s="216"/>
      <c r="AJ627" s="216"/>
      <c r="AK627" s="216"/>
      <c r="AL627" s="216"/>
      <c r="AM627" s="216"/>
      <c r="AN627" s="216"/>
    </row>
    <row r="628">
      <c r="B628" s="267"/>
      <c r="C628" s="266"/>
      <c r="D628" s="266"/>
      <c r="E628" s="266"/>
      <c r="F628" s="266"/>
      <c r="G628" s="266"/>
      <c r="H628" s="266"/>
      <c r="I628" s="266"/>
      <c r="J628" s="266"/>
      <c r="K628" s="266"/>
      <c r="L628" s="266"/>
      <c r="M628" s="266"/>
      <c r="N628" s="266"/>
      <c r="O628" s="266"/>
      <c r="P628" s="266"/>
      <c r="Q628" s="266"/>
      <c r="R628" s="266"/>
      <c r="S628" s="216"/>
      <c r="T628" s="216"/>
      <c r="U628" s="217"/>
      <c r="V628" s="216"/>
      <c r="W628" s="216"/>
      <c r="X628" s="216"/>
      <c r="Y628" s="216"/>
      <c r="Z628" s="216"/>
      <c r="AA628" s="216"/>
      <c r="AB628" s="216"/>
      <c r="AC628" s="216"/>
      <c r="AD628" s="216"/>
      <c r="AE628" s="216"/>
      <c r="AF628" s="216"/>
      <c r="AG628" s="216"/>
      <c r="AH628" s="216"/>
      <c r="AI628" s="216"/>
      <c r="AJ628" s="216"/>
      <c r="AK628" s="216"/>
      <c r="AL628" s="216"/>
      <c r="AM628" s="216"/>
      <c r="AN628" s="216"/>
    </row>
    <row r="629">
      <c r="B629" s="267"/>
      <c r="C629" s="266"/>
      <c r="D629" s="266"/>
      <c r="E629" s="266"/>
      <c r="F629" s="266"/>
      <c r="G629" s="266"/>
      <c r="H629" s="266"/>
      <c r="I629" s="266"/>
      <c r="J629" s="266"/>
      <c r="K629" s="266"/>
      <c r="L629" s="266"/>
      <c r="M629" s="266"/>
      <c r="N629" s="266"/>
      <c r="O629" s="266"/>
      <c r="P629" s="266"/>
      <c r="Q629" s="266"/>
      <c r="R629" s="266"/>
      <c r="S629" s="216"/>
      <c r="T629" s="216"/>
      <c r="U629" s="217"/>
      <c r="V629" s="216"/>
      <c r="W629" s="216"/>
      <c r="X629" s="216"/>
      <c r="Y629" s="216"/>
      <c r="Z629" s="216"/>
      <c r="AA629" s="216"/>
      <c r="AB629" s="216"/>
      <c r="AC629" s="216"/>
      <c r="AD629" s="216"/>
      <c r="AE629" s="216"/>
      <c r="AF629" s="216"/>
      <c r="AG629" s="216"/>
      <c r="AH629" s="216"/>
      <c r="AI629" s="216"/>
      <c r="AJ629" s="216"/>
      <c r="AK629" s="216"/>
      <c r="AL629" s="216"/>
      <c r="AM629" s="216"/>
      <c r="AN629" s="216"/>
    </row>
    <row r="630">
      <c r="B630" s="267"/>
      <c r="C630" s="266"/>
      <c r="D630" s="266"/>
      <c r="E630" s="266"/>
      <c r="F630" s="266"/>
      <c r="G630" s="266"/>
      <c r="H630" s="266"/>
      <c r="I630" s="266"/>
      <c r="J630" s="266"/>
      <c r="K630" s="266"/>
      <c r="L630" s="266"/>
      <c r="M630" s="266"/>
      <c r="N630" s="266"/>
      <c r="O630" s="266"/>
      <c r="P630" s="266"/>
      <c r="Q630" s="266"/>
      <c r="R630" s="266"/>
      <c r="S630" s="216"/>
      <c r="T630" s="216"/>
      <c r="U630" s="217"/>
      <c r="V630" s="216"/>
      <c r="W630" s="216"/>
      <c r="X630" s="216"/>
      <c r="Y630" s="216"/>
      <c r="Z630" s="216"/>
      <c r="AA630" s="216"/>
      <c r="AB630" s="216"/>
      <c r="AC630" s="216"/>
      <c r="AD630" s="216"/>
      <c r="AE630" s="216"/>
      <c r="AF630" s="216"/>
      <c r="AG630" s="216"/>
      <c r="AH630" s="216"/>
      <c r="AI630" s="216"/>
      <c r="AJ630" s="216"/>
      <c r="AK630" s="216"/>
      <c r="AL630" s="216"/>
      <c r="AM630" s="216"/>
      <c r="AN630" s="216"/>
    </row>
    <row r="631">
      <c r="B631" s="267"/>
      <c r="C631" s="266"/>
      <c r="D631" s="266"/>
      <c r="E631" s="266"/>
      <c r="F631" s="266"/>
      <c r="G631" s="266"/>
      <c r="H631" s="266"/>
      <c r="I631" s="266"/>
      <c r="J631" s="266"/>
      <c r="K631" s="266"/>
      <c r="L631" s="266"/>
      <c r="M631" s="266"/>
      <c r="N631" s="266"/>
      <c r="O631" s="266"/>
      <c r="P631" s="266"/>
      <c r="Q631" s="266"/>
      <c r="R631" s="266"/>
      <c r="S631" s="216"/>
      <c r="T631" s="216"/>
      <c r="U631" s="217"/>
      <c r="V631" s="216"/>
      <c r="W631" s="216"/>
      <c r="X631" s="216"/>
      <c r="Y631" s="216"/>
      <c r="Z631" s="216"/>
      <c r="AA631" s="216"/>
      <c r="AB631" s="216"/>
      <c r="AC631" s="216"/>
      <c r="AD631" s="216"/>
      <c r="AE631" s="216"/>
      <c r="AF631" s="216"/>
      <c r="AG631" s="216"/>
      <c r="AH631" s="216"/>
      <c r="AI631" s="216"/>
      <c r="AJ631" s="216"/>
      <c r="AK631" s="216"/>
      <c r="AL631" s="216"/>
      <c r="AM631" s="216"/>
      <c r="AN631" s="216"/>
    </row>
    <row r="632">
      <c r="B632" s="267"/>
      <c r="C632" s="266"/>
      <c r="D632" s="266"/>
      <c r="E632" s="266"/>
      <c r="F632" s="266"/>
      <c r="G632" s="266"/>
      <c r="H632" s="266"/>
      <c r="I632" s="266"/>
      <c r="J632" s="266"/>
      <c r="K632" s="266"/>
      <c r="L632" s="266"/>
      <c r="M632" s="266"/>
      <c r="N632" s="266"/>
      <c r="O632" s="266"/>
      <c r="P632" s="266"/>
      <c r="Q632" s="266"/>
      <c r="R632" s="266"/>
      <c r="S632" s="216"/>
      <c r="T632" s="216"/>
      <c r="U632" s="217"/>
      <c r="V632" s="216"/>
      <c r="W632" s="216"/>
      <c r="X632" s="216"/>
      <c r="Y632" s="216"/>
      <c r="Z632" s="216"/>
      <c r="AA632" s="216"/>
      <c r="AB632" s="216"/>
      <c r="AC632" s="216"/>
      <c r="AD632" s="216"/>
      <c r="AE632" s="216"/>
      <c r="AF632" s="216"/>
      <c r="AG632" s="216"/>
      <c r="AH632" s="216"/>
      <c r="AI632" s="216"/>
      <c r="AJ632" s="216"/>
      <c r="AK632" s="216"/>
      <c r="AL632" s="216"/>
      <c r="AM632" s="216"/>
      <c r="AN632" s="216"/>
    </row>
    <row r="633">
      <c r="B633" s="267"/>
      <c r="C633" s="266"/>
      <c r="D633" s="266"/>
      <c r="E633" s="266"/>
      <c r="F633" s="266"/>
      <c r="G633" s="266"/>
      <c r="H633" s="266"/>
      <c r="I633" s="266"/>
      <c r="J633" s="266"/>
      <c r="K633" s="266"/>
      <c r="L633" s="266"/>
      <c r="M633" s="266"/>
      <c r="N633" s="266"/>
      <c r="O633" s="266"/>
      <c r="P633" s="266"/>
      <c r="Q633" s="266"/>
      <c r="R633" s="266"/>
      <c r="S633" s="216"/>
      <c r="T633" s="216"/>
      <c r="U633" s="217"/>
      <c r="V633" s="216"/>
      <c r="W633" s="216"/>
      <c r="X633" s="216"/>
      <c r="Y633" s="216"/>
      <c r="Z633" s="216"/>
      <c r="AA633" s="216"/>
      <c r="AB633" s="216"/>
      <c r="AC633" s="216"/>
      <c r="AD633" s="216"/>
      <c r="AE633" s="216"/>
      <c r="AF633" s="216"/>
      <c r="AG633" s="216"/>
      <c r="AH633" s="216"/>
      <c r="AI633" s="216"/>
      <c r="AJ633" s="216"/>
      <c r="AK633" s="216"/>
      <c r="AL633" s="216"/>
      <c r="AM633" s="216"/>
      <c r="AN633" s="216"/>
    </row>
    <row r="634">
      <c r="B634" s="267"/>
      <c r="C634" s="266"/>
      <c r="D634" s="266"/>
      <c r="E634" s="266"/>
      <c r="F634" s="266"/>
      <c r="G634" s="266"/>
      <c r="H634" s="266"/>
      <c r="I634" s="266"/>
      <c r="J634" s="266"/>
      <c r="K634" s="266"/>
      <c r="L634" s="266"/>
      <c r="M634" s="266"/>
      <c r="N634" s="266"/>
      <c r="O634" s="266"/>
      <c r="P634" s="266"/>
      <c r="Q634" s="266"/>
      <c r="R634" s="266"/>
      <c r="S634" s="216"/>
      <c r="T634" s="216"/>
      <c r="U634" s="217"/>
      <c r="V634" s="216"/>
      <c r="W634" s="216"/>
      <c r="X634" s="216"/>
      <c r="Y634" s="216"/>
      <c r="Z634" s="216"/>
      <c r="AA634" s="216"/>
      <c r="AB634" s="216"/>
      <c r="AC634" s="216"/>
      <c r="AD634" s="216"/>
      <c r="AE634" s="216"/>
      <c r="AF634" s="216"/>
      <c r="AG634" s="216"/>
      <c r="AH634" s="216"/>
      <c r="AI634" s="216"/>
      <c r="AJ634" s="216"/>
      <c r="AK634" s="216"/>
      <c r="AL634" s="216"/>
      <c r="AM634" s="216"/>
      <c r="AN634" s="216"/>
    </row>
    <row r="635">
      <c r="B635" s="267"/>
      <c r="C635" s="266"/>
      <c r="D635" s="266"/>
      <c r="E635" s="266"/>
      <c r="F635" s="266"/>
      <c r="G635" s="266"/>
      <c r="H635" s="266"/>
      <c r="I635" s="266"/>
      <c r="J635" s="266"/>
      <c r="K635" s="266"/>
      <c r="L635" s="266"/>
      <c r="M635" s="266"/>
      <c r="N635" s="266"/>
      <c r="O635" s="266"/>
      <c r="P635" s="266"/>
      <c r="Q635" s="266"/>
      <c r="R635" s="266"/>
      <c r="S635" s="216"/>
      <c r="T635" s="216"/>
      <c r="U635" s="217"/>
      <c r="V635" s="216"/>
      <c r="W635" s="216"/>
      <c r="X635" s="216"/>
      <c r="Y635" s="216"/>
      <c r="Z635" s="216"/>
      <c r="AA635" s="216"/>
      <c r="AB635" s="216"/>
      <c r="AC635" s="216"/>
      <c r="AD635" s="216"/>
      <c r="AE635" s="216"/>
      <c r="AF635" s="216"/>
      <c r="AG635" s="216"/>
      <c r="AH635" s="216"/>
      <c r="AI635" s="216"/>
      <c r="AJ635" s="216"/>
      <c r="AK635" s="216"/>
      <c r="AL635" s="216"/>
      <c r="AM635" s="216"/>
      <c r="AN635" s="216"/>
    </row>
    <row r="636">
      <c r="B636" s="267"/>
      <c r="C636" s="266"/>
      <c r="D636" s="266"/>
      <c r="E636" s="266"/>
      <c r="F636" s="266"/>
      <c r="G636" s="266"/>
      <c r="H636" s="266"/>
      <c r="I636" s="266"/>
      <c r="J636" s="266"/>
      <c r="K636" s="266"/>
      <c r="L636" s="266"/>
      <c r="M636" s="266"/>
      <c r="N636" s="266"/>
      <c r="O636" s="266"/>
      <c r="P636" s="266"/>
      <c r="Q636" s="266"/>
      <c r="R636" s="266"/>
      <c r="S636" s="216"/>
      <c r="T636" s="216"/>
      <c r="U636" s="217"/>
      <c r="V636" s="216"/>
      <c r="W636" s="216"/>
      <c r="X636" s="216"/>
      <c r="Y636" s="216"/>
      <c r="Z636" s="216"/>
      <c r="AA636" s="216"/>
      <c r="AB636" s="216"/>
      <c r="AC636" s="216"/>
      <c r="AD636" s="216"/>
      <c r="AE636" s="216"/>
      <c r="AF636" s="216"/>
      <c r="AG636" s="216"/>
      <c r="AH636" s="216"/>
      <c r="AI636" s="216"/>
      <c r="AJ636" s="216"/>
      <c r="AK636" s="216"/>
      <c r="AL636" s="216"/>
      <c r="AM636" s="216"/>
      <c r="AN636" s="216"/>
    </row>
    <row r="637">
      <c r="B637" s="267"/>
      <c r="C637" s="266"/>
      <c r="D637" s="266"/>
      <c r="E637" s="266"/>
      <c r="F637" s="266"/>
      <c r="G637" s="266"/>
      <c r="H637" s="266"/>
      <c r="I637" s="266"/>
      <c r="J637" s="266"/>
      <c r="K637" s="266"/>
      <c r="L637" s="266"/>
      <c r="M637" s="266"/>
      <c r="N637" s="266"/>
      <c r="O637" s="266"/>
      <c r="P637" s="266"/>
      <c r="Q637" s="266"/>
      <c r="R637" s="266"/>
      <c r="S637" s="216"/>
      <c r="T637" s="216"/>
      <c r="U637" s="217"/>
      <c r="V637" s="216"/>
      <c r="W637" s="216"/>
      <c r="X637" s="216"/>
      <c r="Y637" s="216"/>
      <c r="Z637" s="216"/>
      <c r="AA637" s="216"/>
      <c r="AB637" s="216"/>
      <c r="AC637" s="216"/>
      <c r="AD637" s="216"/>
      <c r="AE637" s="216"/>
      <c r="AF637" s="216"/>
      <c r="AG637" s="216"/>
      <c r="AH637" s="216"/>
      <c r="AI637" s="216"/>
      <c r="AJ637" s="216"/>
      <c r="AK637" s="216"/>
      <c r="AL637" s="216"/>
      <c r="AM637" s="216"/>
      <c r="AN637" s="216"/>
    </row>
    <row r="638">
      <c r="B638" s="267"/>
      <c r="C638" s="266"/>
      <c r="D638" s="266"/>
      <c r="E638" s="266"/>
      <c r="F638" s="266"/>
      <c r="G638" s="266"/>
      <c r="H638" s="266"/>
      <c r="I638" s="266"/>
      <c r="J638" s="266"/>
      <c r="K638" s="266"/>
      <c r="L638" s="266"/>
      <c r="M638" s="266"/>
      <c r="N638" s="266"/>
      <c r="O638" s="266"/>
      <c r="P638" s="266"/>
      <c r="Q638" s="266"/>
      <c r="R638" s="266"/>
      <c r="S638" s="216"/>
      <c r="T638" s="216"/>
      <c r="U638" s="217"/>
      <c r="V638" s="216"/>
      <c r="W638" s="216"/>
      <c r="X638" s="216"/>
      <c r="Y638" s="216"/>
      <c r="Z638" s="216"/>
      <c r="AA638" s="216"/>
      <c r="AB638" s="216"/>
      <c r="AC638" s="216"/>
      <c r="AD638" s="216"/>
      <c r="AE638" s="216"/>
      <c r="AF638" s="216"/>
      <c r="AG638" s="216"/>
      <c r="AH638" s="216"/>
      <c r="AI638" s="216"/>
      <c r="AJ638" s="216"/>
      <c r="AK638" s="216"/>
      <c r="AL638" s="216"/>
      <c r="AM638" s="216"/>
      <c r="AN638" s="216"/>
    </row>
    <row r="639">
      <c r="B639" s="267"/>
      <c r="C639" s="266"/>
      <c r="D639" s="266"/>
      <c r="E639" s="266"/>
      <c r="F639" s="266"/>
      <c r="G639" s="266"/>
      <c r="H639" s="266"/>
      <c r="I639" s="266"/>
      <c r="J639" s="266"/>
      <c r="K639" s="266"/>
      <c r="L639" s="266"/>
      <c r="M639" s="266"/>
      <c r="N639" s="266"/>
      <c r="O639" s="266"/>
      <c r="P639" s="266"/>
      <c r="Q639" s="266"/>
      <c r="R639" s="266"/>
      <c r="S639" s="216"/>
      <c r="T639" s="216"/>
      <c r="U639" s="217"/>
      <c r="V639" s="216"/>
      <c r="W639" s="216"/>
      <c r="X639" s="216"/>
      <c r="Y639" s="216"/>
      <c r="Z639" s="216"/>
      <c r="AA639" s="216"/>
      <c r="AB639" s="216"/>
      <c r="AC639" s="216"/>
      <c r="AD639" s="216"/>
      <c r="AE639" s="216"/>
      <c r="AF639" s="216"/>
      <c r="AG639" s="216"/>
      <c r="AH639" s="216"/>
      <c r="AI639" s="216"/>
      <c r="AJ639" s="216"/>
      <c r="AK639" s="216"/>
      <c r="AL639" s="216"/>
      <c r="AM639" s="216"/>
      <c r="AN639" s="216"/>
    </row>
    <row r="640">
      <c r="B640" s="267"/>
      <c r="C640" s="266"/>
      <c r="D640" s="266"/>
      <c r="E640" s="266"/>
      <c r="F640" s="266"/>
      <c r="G640" s="266"/>
      <c r="H640" s="266"/>
      <c r="I640" s="266"/>
      <c r="J640" s="266"/>
      <c r="K640" s="266"/>
      <c r="L640" s="266"/>
      <c r="M640" s="266"/>
      <c r="N640" s="266"/>
      <c r="O640" s="266"/>
      <c r="P640" s="266"/>
      <c r="Q640" s="266"/>
      <c r="R640" s="266"/>
      <c r="S640" s="216"/>
      <c r="T640" s="216"/>
      <c r="U640" s="217"/>
      <c r="V640" s="216"/>
      <c r="W640" s="216"/>
      <c r="X640" s="216"/>
      <c r="Y640" s="216"/>
      <c r="Z640" s="216"/>
      <c r="AA640" s="216"/>
      <c r="AB640" s="216"/>
      <c r="AC640" s="216"/>
      <c r="AD640" s="216"/>
      <c r="AE640" s="216"/>
      <c r="AF640" s="216"/>
      <c r="AG640" s="216"/>
      <c r="AH640" s="216"/>
      <c r="AI640" s="216"/>
      <c r="AJ640" s="216"/>
      <c r="AK640" s="216"/>
      <c r="AL640" s="216"/>
      <c r="AM640" s="216"/>
      <c r="AN640" s="216"/>
    </row>
    <row r="641">
      <c r="B641" s="267"/>
      <c r="C641" s="266"/>
      <c r="D641" s="266"/>
      <c r="E641" s="266"/>
      <c r="F641" s="266"/>
      <c r="G641" s="266"/>
      <c r="H641" s="266"/>
      <c r="I641" s="266"/>
      <c r="J641" s="266"/>
      <c r="K641" s="266"/>
      <c r="L641" s="266"/>
      <c r="M641" s="266"/>
      <c r="N641" s="266"/>
      <c r="O641" s="266"/>
      <c r="P641" s="266"/>
      <c r="Q641" s="266"/>
      <c r="R641" s="266"/>
      <c r="S641" s="216"/>
      <c r="T641" s="216"/>
      <c r="U641" s="217"/>
      <c r="V641" s="216"/>
      <c r="W641" s="216"/>
      <c r="X641" s="216"/>
      <c r="Y641" s="216"/>
      <c r="Z641" s="216"/>
      <c r="AA641" s="216"/>
      <c r="AB641" s="216"/>
      <c r="AC641" s="216"/>
      <c r="AD641" s="216"/>
      <c r="AE641" s="216"/>
      <c r="AF641" s="216"/>
      <c r="AG641" s="216"/>
      <c r="AH641" s="216"/>
      <c r="AI641" s="216"/>
      <c r="AJ641" s="216"/>
      <c r="AK641" s="216"/>
      <c r="AL641" s="216"/>
      <c r="AM641" s="216"/>
      <c r="AN641" s="216"/>
    </row>
    <row r="642">
      <c r="B642" s="267"/>
      <c r="C642" s="266"/>
      <c r="D642" s="266"/>
      <c r="E642" s="266"/>
      <c r="F642" s="266"/>
      <c r="G642" s="266"/>
      <c r="H642" s="266"/>
      <c r="I642" s="266"/>
      <c r="J642" s="266"/>
      <c r="K642" s="266"/>
      <c r="L642" s="266"/>
      <c r="M642" s="266"/>
      <c r="N642" s="266"/>
      <c r="O642" s="266"/>
      <c r="P642" s="266"/>
      <c r="Q642" s="266"/>
      <c r="R642" s="266"/>
      <c r="S642" s="216"/>
      <c r="T642" s="216"/>
      <c r="U642" s="217"/>
      <c r="V642" s="216"/>
      <c r="W642" s="216"/>
      <c r="X642" s="216"/>
      <c r="Y642" s="216"/>
      <c r="Z642" s="216"/>
      <c r="AA642" s="216"/>
      <c r="AB642" s="216"/>
      <c r="AC642" s="216"/>
      <c r="AD642" s="216"/>
      <c r="AE642" s="216"/>
      <c r="AF642" s="216"/>
      <c r="AG642" s="216"/>
      <c r="AH642" s="216"/>
      <c r="AI642" s="216"/>
      <c r="AJ642" s="216"/>
      <c r="AK642" s="216"/>
      <c r="AL642" s="216"/>
      <c r="AM642" s="216"/>
      <c r="AN642" s="216"/>
    </row>
    <row r="643">
      <c r="B643" s="267"/>
      <c r="C643" s="266"/>
      <c r="D643" s="266"/>
      <c r="E643" s="266"/>
      <c r="F643" s="266"/>
      <c r="G643" s="266"/>
      <c r="H643" s="266"/>
      <c r="I643" s="266"/>
      <c r="J643" s="266"/>
      <c r="K643" s="266"/>
      <c r="L643" s="266"/>
      <c r="M643" s="266"/>
      <c r="N643" s="266"/>
      <c r="O643" s="266"/>
      <c r="P643" s="266"/>
      <c r="Q643" s="266"/>
      <c r="R643" s="266"/>
      <c r="S643" s="216"/>
      <c r="T643" s="216"/>
      <c r="U643" s="217"/>
      <c r="V643" s="216"/>
      <c r="W643" s="216"/>
      <c r="X643" s="216"/>
      <c r="Y643" s="216"/>
      <c r="Z643" s="216"/>
      <c r="AA643" s="216"/>
      <c r="AB643" s="216"/>
      <c r="AC643" s="216"/>
      <c r="AD643" s="216"/>
      <c r="AE643" s="216"/>
      <c r="AF643" s="216"/>
      <c r="AG643" s="216"/>
      <c r="AH643" s="216"/>
      <c r="AI643" s="216"/>
      <c r="AJ643" s="216"/>
      <c r="AK643" s="216"/>
      <c r="AL643" s="216"/>
      <c r="AM643" s="216"/>
      <c r="AN643" s="216"/>
    </row>
    <row r="644">
      <c r="B644" s="267"/>
      <c r="C644" s="266"/>
      <c r="D644" s="266"/>
      <c r="E644" s="266"/>
      <c r="F644" s="266"/>
      <c r="G644" s="266"/>
      <c r="H644" s="266"/>
      <c r="I644" s="266"/>
      <c r="J644" s="266"/>
      <c r="K644" s="266"/>
      <c r="L644" s="266"/>
      <c r="M644" s="266"/>
      <c r="N644" s="266"/>
      <c r="O644" s="266"/>
      <c r="P644" s="266"/>
      <c r="Q644" s="266"/>
      <c r="R644" s="266"/>
      <c r="S644" s="216"/>
      <c r="T644" s="216"/>
      <c r="U644" s="217"/>
      <c r="V644" s="216"/>
      <c r="W644" s="216"/>
      <c r="X644" s="216"/>
      <c r="Y644" s="216"/>
      <c r="Z644" s="216"/>
      <c r="AA644" s="216"/>
      <c r="AB644" s="216"/>
      <c r="AC644" s="216"/>
      <c r="AD644" s="216"/>
      <c r="AE644" s="216"/>
      <c r="AF644" s="216"/>
      <c r="AG644" s="216"/>
      <c r="AH644" s="216"/>
      <c r="AI644" s="216"/>
      <c r="AJ644" s="216"/>
      <c r="AK644" s="216"/>
      <c r="AL644" s="216"/>
      <c r="AM644" s="216"/>
      <c r="AN644" s="216"/>
    </row>
    <row r="645">
      <c r="B645" s="267"/>
      <c r="C645" s="266"/>
      <c r="D645" s="266"/>
      <c r="E645" s="266"/>
      <c r="F645" s="266"/>
      <c r="G645" s="266"/>
      <c r="H645" s="266"/>
      <c r="I645" s="266"/>
      <c r="J645" s="266"/>
      <c r="K645" s="266"/>
      <c r="L645" s="266"/>
      <c r="M645" s="266"/>
      <c r="N645" s="266"/>
      <c r="O645" s="266"/>
      <c r="P645" s="266"/>
      <c r="Q645" s="266"/>
      <c r="R645" s="266"/>
      <c r="S645" s="216"/>
      <c r="T645" s="216"/>
      <c r="U645" s="217"/>
      <c r="V645" s="216"/>
      <c r="W645" s="216"/>
      <c r="X645" s="216"/>
      <c r="Y645" s="216"/>
      <c r="Z645" s="216"/>
      <c r="AA645" s="216"/>
      <c r="AB645" s="216"/>
      <c r="AC645" s="216"/>
      <c r="AD645" s="216"/>
      <c r="AE645" s="216"/>
      <c r="AF645" s="216"/>
      <c r="AG645" s="216"/>
      <c r="AH645" s="216"/>
      <c r="AI645" s="216"/>
      <c r="AJ645" s="216"/>
      <c r="AK645" s="216"/>
      <c r="AL645" s="216"/>
      <c r="AM645" s="216"/>
      <c r="AN645" s="216"/>
    </row>
    <row r="646">
      <c r="B646" s="267"/>
      <c r="C646" s="266"/>
      <c r="D646" s="266"/>
      <c r="E646" s="266"/>
      <c r="F646" s="266"/>
      <c r="G646" s="266"/>
      <c r="H646" s="266"/>
      <c r="I646" s="266"/>
      <c r="J646" s="266"/>
      <c r="K646" s="266"/>
      <c r="L646" s="266"/>
      <c r="M646" s="266"/>
      <c r="N646" s="266"/>
      <c r="O646" s="266"/>
      <c r="P646" s="266"/>
      <c r="Q646" s="266"/>
      <c r="R646" s="266"/>
      <c r="S646" s="216"/>
      <c r="T646" s="216"/>
      <c r="U646" s="217"/>
      <c r="V646" s="216"/>
      <c r="W646" s="216"/>
      <c r="X646" s="216"/>
      <c r="Y646" s="216"/>
      <c r="Z646" s="216"/>
      <c r="AA646" s="216"/>
      <c r="AB646" s="216"/>
      <c r="AC646" s="216"/>
      <c r="AD646" s="216"/>
      <c r="AE646" s="216"/>
      <c r="AF646" s="216"/>
      <c r="AG646" s="216"/>
      <c r="AH646" s="216"/>
      <c r="AI646" s="216"/>
      <c r="AJ646" s="216"/>
      <c r="AK646" s="216"/>
      <c r="AL646" s="216"/>
      <c r="AM646" s="216"/>
      <c r="AN646" s="216"/>
    </row>
    <row r="647">
      <c r="B647" s="267"/>
      <c r="C647" s="266"/>
      <c r="D647" s="266"/>
      <c r="E647" s="266"/>
      <c r="F647" s="266"/>
      <c r="G647" s="266"/>
      <c r="H647" s="266"/>
      <c r="I647" s="266"/>
      <c r="J647" s="266"/>
      <c r="K647" s="266"/>
      <c r="L647" s="266"/>
      <c r="M647" s="266"/>
      <c r="N647" s="266"/>
      <c r="O647" s="266"/>
      <c r="P647" s="266"/>
      <c r="Q647" s="266"/>
      <c r="R647" s="266"/>
      <c r="S647" s="216"/>
      <c r="T647" s="216"/>
      <c r="U647" s="217"/>
      <c r="V647" s="216"/>
      <c r="W647" s="216"/>
      <c r="X647" s="216"/>
      <c r="Y647" s="216"/>
      <c r="Z647" s="216"/>
      <c r="AA647" s="216"/>
      <c r="AB647" s="216"/>
      <c r="AC647" s="216"/>
      <c r="AD647" s="216"/>
      <c r="AE647" s="216"/>
      <c r="AF647" s="216"/>
      <c r="AG647" s="216"/>
      <c r="AH647" s="216"/>
      <c r="AI647" s="216"/>
      <c r="AJ647" s="216"/>
      <c r="AK647" s="216"/>
      <c r="AL647" s="216"/>
      <c r="AM647" s="216"/>
      <c r="AN647" s="216"/>
    </row>
    <row r="648">
      <c r="B648" s="267"/>
      <c r="C648" s="266"/>
      <c r="D648" s="266"/>
      <c r="E648" s="266"/>
      <c r="F648" s="266"/>
      <c r="G648" s="266"/>
      <c r="H648" s="266"/>
      <c r="I648" s="266"/>
      <c r="J648" s="266"/>
      <c r="K648" s="266"/>
      <c r="L648" s="266"/>
      <c r="M648" s="266"/>
      <c r="N648" s="266"/>
      <c r="O648" s="266"/>
      <c r="P648" s="266"/>
      <c r="Q648" s="266"/>
      <c r="R648" s="266"/>
      <c r="S648" s="216"/>
      <c r="T648" s="216"/>
      <c r="U648" s="217"/>
      <c r="V648" s="216"/>
      <c r="W648" s="216"/>
      <c r="X648" s="216"/>
      <c r="Y648" s="216"/>
      <c r="Z648" s="216"/>
      <c r="AA648" s="216"/>
      <c r="AB648" s="216"/>
      <c r="AC648" s="216"/>
      <c r="AD648" s="216"/>
      <c r="AE648" s="216"/>
      <c r="AF648" s="216"/>
      <c r="AG648" s="216"/>
      <c r="AH648" s="216"/>
      <c r="AI648" s="216"/>
      <c r="AJ648" s="216"/>
      <c r="AK648" s="216"/>
      <c r="AL648" s="216"/>
      <c r="AM648" s="216"/>
      <c r="AN648" s="216"/>
    </row>
    <row r="649">
      <c r="B649" s="267"/>
      <c r="C649" s="266"/>
      <c r="D649" s="266"/>
      <c r="E649" s="266"/>
      <c r="F649" s="266"/>
      <c r="G649" s="266"/>
      <c r="H649" s="266"/>
      <c r="I649" s="266"/>
      <c r="J649" s="266"/>
      <c r="K649" s="266"/>
      <c r="L649" s="266"/>
      <c r="M649" s="266"/>
      <c r="N649" s="266"/>
      <c r="O649" s="266"/>
      <c r="P649" s="266"/>
      <c r="Q649" s="266"/>
      <c r="R649" s="266"/>
      <c r="S649" s="216"/>
      <c r="T649" s="216"/>
      <c r="U649" s="217"/>
      <c r="V649" s="216"/>
      <c r="W649" s="216"/>
      <c r="X649" s="216"/>
      <c r="Y649" s="216"/>
      <c r="Z649" s="216"/>
      <c r="AA649" s="216"/>
      <c r="AB649" s="216"/>
      <c r="AC649" s="216"/>
      <c r="AD649" s="216"/>
      <c r="AE649" s="216"/>
      <c r="AF649" s="216"/>
      <c r="AG649" s="216"/>
      <c r="AH649" s="216"/>
      <c r="AI649" s="216"/>
      <c r="AJ649" s="216"/>
      <c r="AK649" s="216"/>
      <c r="AL649" s="216"/>
      <c r="AM649" s="216"/>
      <c r="AN649" s="216"/>
    </row>
    <row r="650">
      <c r="B650" s="267"/>
      <c r="C650" s="266"/>
      <c r="D650" s="266"/>
      <c r="E650" s="266"/>
      <c r="F650" s="266"/>
      <c r="G650" s="266"/>
      <c r="H650" s="266"/>
      <c r="I650" s="266"/>
      <c r="J650" s="266"/>
      <c r="K650" s="266"/>
      <c r="L650" s="266"/>
      <c r="M650" s="266"/>
      <c r="N650" s="266"/>
      <c r="O650" s="266"/>
      <c r="P650" s="266"/>
      <c r="Q650" s="266"/>
      <c r="R650" s="266"/>
      <c r="S650" s="216"/>
      <c r="T650" s="216"/>
      <c r="U650" s="217"/>
      <c r="V650" s="216"/>
      <c r="W650" s="216"/>
      <c r="X650" s="216"/>
      <c r="Y650" s="216"/>
      <c r="Z650" s="216"/>
      <c r="AA650" s="216"/>
      <c r="AB650" s="216"/>
      <c r="AC650" s="216"/>
      <c r="AD650" s="216"/>
      <c r="AE650" s="216"/>
      <c r="AF650" s="216"/>
      <c r="AG650" s="216"/>
      <c r="AH650" s="216"/>
      <c r="AI650" s="216"/>
      <c r="AJ650" s="216"/>
      <c r="AK650" s="216"/>
      <c r="AL650" s="216"/>
      <c r="AM650" s="216"/>
      <c r="AN650" s="216"/>
    </row>
    <row r="651">
      <c r="B651" s="267"/>
      <c r="C651" s="266"/>
      <c r="D651" s="266"/>
      <c r="E651" s="266"/>
      <c r="F651" s="266"/>
      <c r="G651" s="266"/>
      <c r="H651" s="266"/>
      <c r="I651" s="266"/>
      <c r="J651" s="266"/>
      <c r="K651" s="266"/>
      <c r="L651" s="266"/>
      <c r="M651" s="266"/>
      <c r="N651" s="266"/>
      <c r="O651" s="266"/>
      <c r="P651" s="266"/>
      <c r="Q651" s="266"/>
      <c r="R651" s="266"/>
      <c r="S651" s="216"/>
      <c r="T651" s="216"/>
      <c r="U651" s="217"/>
      <c r="V651" s="216"/>
      <c r="W651" s="216"/>
      <c r="X651" s="216"/>
      <c r="Y651" s="216"/>
      <c r="Z651" s="216"/>
      <c r="AA651" s="216"/>
      <c r="AB651" s="216"/>
      <c r="AC651" s="216"/>
      <c r="AD651" s="216"/>
      <c r="AE651" s="216"/>
      <c r="AF651" s="216"/>
      <c r="AG651" s="216"/>
      <c r="AH651" s="216"/>
      <c r="AI651" s="216"/>
      <c r="AJ651" s="216"/>
      <c r="AK651" s="216"/>
      <c r="AL651" s="216"/>
      <c r="AM651" s="216"/>
      <c r="AN651" s="216"/>
    </row>
    <row r="652">
      <c r="B652" s="267"/>
      <c r="C652" s="266"/>
      <c r="D652" s="266"/>
      <c r="E652" s="266"/>
      <c r="F652" s="266"/>
      <c r="G652" s="266"/>
      <c r="H652" s="266"/>
      <c r="I652" s="266"/>
      <c r="J652" s="266"/>
      <c r="K652" s="266"/>
      <c r="L652" s="266"/>
      <c r="M652" s="266"/>
      <c r="N652" s="266"/>
      <c r="O652" s="266"/>
      <c r="P652" s="266"/>
      <c r="Q652" s="266"/>
      <c r="R652" s="266"/>
      <c r="S652" s="216"/>
      <c r="T652" s="216"/>
      <c r="U652" s="217"/>
      <c r="V652" s="216"/>
      <c r="W652" s="216"/>
      <c r="X652" s="216"/>
      <c r="Y652" s="216"/>
      <c r="Z652" s="216"/>
      <c r="AA652" s="216"/>
      <c r="AB652" s="216"/>
      <c r="AC652" s="216"/>
      <c r="AD652" s="216"/>
      <c r="AE652" s="216"/>
      <c r="AF652" s="216"/>
      <c r="AG652" s="216"/>
      <c r="AH652" s="216"/>
      <c r="AI652" s="216"/>
      <c r="AJ652" s="216"/>
      <c r="AK652" s="216"/>
      <c r="AL652" s="216"/>
      <c r="AM652" s="216"/>
      <c r="AN652" s="216"/>
    </row>
    <row r="653">
      <c r="B653" s="267"/>
      <c r="C653" s="266"/>
      <c r="D653" s="266"/>
      <c r="E653" s="266"/>
      <c r="F653" s="266"/>
      <c r="G653" s="266"/>
      <c r="H653" s="266"/>
      <c r="I653" s="266"/>
      <c r="J653" s="266"/>
      <c r="K653" s="266"/>
      <c r="L653" s="266"/>
      <c r="M653" s="266"/>
      <c r="N653" s="266"/>
      <c r="O653" s="266"/>
      <c r="P653" s="266"/>
      <c r="Q653" s="266"/>
      <c r="R653" s="266"/>
      <c r="S653" s="216"/>
      <c r="T653" s="216"/>
      <c r="U653" s="217"/>
      <c r="V653" s="216"/>
      <c r="W653" s="216"/>
      <c r="X653" s="216"/>
      <c r="Y653" s="216"/>
      <c r="Z653" s="216"/>
      <c r="AA653" s="216"/>
      <c r="AB653" s="216"/>
      <c r="AC653" s="216"/>
      <c r="AD653" s="216"/>
      <c r="AE653" s="216"/>
      <c r="AF653" s="216"/>
      <c r="AG653" s="216"/>
      <c r="AH653" s="216"/>
      <c r="AI653" s="216"/>
      <c r="AJ653" s="216"/>
      <c r="AK653" s="216"/>
      <c r="AL653" s="216"/>
      <c r="AM653" s="216"/>
      <c r="AN653" s="216"/>
    </row>
    <row r="654">
      <c r="B654" s="267"/>
      <c r="C654" s="266"/>
      <c r="D654" s="266"/>
      <c r="E654" s="266"/>
      <c r="F654" s="266"/>
      <c r="G654" s="266"/>
      <c r="H654" s="266"/>
      <c r="I654" s="266"/>
      <c r="J654" s="266"/>
      <c r="K654" s="266"/>
      <c r="L654" s="266"/>
      <c r="M654" s="266"/>
      <c r="N654" s="266"/>
      <c r="O654" s="266"/>
      <c r="P654" s="266"/>
      <c r="Q654" s="266"/>
      <c r="R654" s="266"/>
      <c r="S654" s="216"/>
      <c r="T654" s="216"/>
      <c r="U654" s="217"/>
      <c r="V654" s="216"/>
      <c r="W654" s="216"/>
      <c r="X654" s="216"/>
      <c r="Y654" s="216"/>
      <c r="Z654" s="216"/>
      <c r="AA654" s="216"/>
      <c r="AB654" s="216"/>
      <c r="AC654" s="216"/>
      <c r="AD654" s="216"/>
      <c r="AE654" s="216"/>
      <c r="AF654" s="216"/>
      <c r="AG654" s="216"/>
      <c r="AH654" s="216"/>
      <c r="AI654" s="216"/>
      <c r="AJ654" s="216"/>
      <c r="AK654" s="216"/>
      <c r="AL654" s="216"/>
      <c r="AM654" s="216"/>
      <c r="AN654" s="216"/>
    </row>
    <row r="655">
      <c r="B655" s="267"/>
      <c r="C655" s="266"/>
      <c r="D655" s="266"/>
      <c r="E655" s="266"/>
      <c r="F655" s="266"/>
      <c r="G655" s="266"/>
      <c r="H655" s="266"/>
      <c r="I655" s="266"/>
      <c r="J655" s="266"/>
      <c r="K655" s="266"/>
      <c r="L655" s="266"/>
      <c r="M655" s="266"/>
      <c r="N655" s="266"/>
      <c r="O655" s="266"/>
      <c r="P655" s="266"/>
      <c r="Q655" s="266"/>
      <c r="R655" s="266"/>
      <c r="S655" s="216"/>
      <c r="T655" s="216"/>
      <c r="U655" s="217"/>
      <c r="V655" s="216"/>
      <c r="W655" s="216"/>
      <c r="X655" s="216"/>
      <c r="Y655" s="216"/>
      <c r="Z655" s="216"/>
      <c r="AA655" s="216"/>
      <c r="AB655" s="216"/>
      <c r="AC655" s="216"/>
      <c r="AD655" s="216"/>
      <c r="AE655" s="216"/>
      <c r="AF655" s="216"/>
      <c r="AG655" s="216"/>
      <c r="AH655" s="216"/>
      <c r="AI655" s="216"/>
      <c r="AJ655" s="216"/>
      <c r="AK655" s="216"/>
      <c r="AL655" s="216"/>
      <c r="AM655" s="216"/>
      <c r="AN655" s="216"/>
    </row>
    <row r="656">
      <c r="B656" s="267"/>
      <c r="C656" s="266"/>
      <c r="D656" s="266"/>
      <c r="E656" s="266"/>
      <c r="F656" s="266"/>
      <c r="G656" s="266"/>
      <c r="H656" s="266"/>
      <c r="I656" s="266"/>
      <c r="J656" s="266"/>
      <c r="K656" s="266"/>
      <c r="L656" s="266"/>
      <c r="M656" s="266"/>
      <c r="N656" s="266"/>
      <c r="O656" s="266"/>
      <c r="P656" s="266"/>
      <c r="Q656" s="266"/>
      <c r="R656" s="266"/>
      <c r="S656" s="216"/>
      <c r="T656" s="216"/>
      <c r="U656" s="217"/>
      <c r="V656" s="216"/>
      <c r="W656" s="216"/>
      <c r="X656" s="216"/>
      <c r="Y656" s="216"/>
      <c r="Z656" s="216"/>
      <c r="AA656" s="216"/>
      <c r="AB656" s="216"/>
      <c r="AC656" s="216"/>
      <c r="AD656" s="216"/>
      <c r="AE656" s="216"/>
      <c r="AF656" s="216"/>
      <c r="AG656" s="216"/>
      <c r="AH656" s="216"/>
      <c r="AI656" s="216"/>
      <c r="AJ656" s="216"/>
      <c r="AK656" s="216"/>
      <c r="AL656" s="216"/>
      <c r="AM656" s="216"/>
      <c r="AN656" s="216"/>
    </row>
    <row r="657">
      <c r="B657" s="267"/>
      <c r="C657" s="266"/>
      <c r="D657" s="266"/>
      <c r="E657" s="266"/>
      <c r="F657" s="266"/>
      <c r="G657" s="266"/>
      <c r="H657" s="266"/>
      <c r="I657" s="266"/>
      <c r="J657" s="266"/>
      <c r="K657" s="266"/>
      <c r="L657" s="266"/>
      <c r="M657" s="266"/>
      <c r="N657" s="266"/>
      <c r="O657" s="266"/>
      <c r="P657" s="266"/>
      <c r="Q657" s="266"/>
      <c r="R657" s="266"/>
      <c r="S657" s="216"/>
      <c r="T657" s="216"/>
      <c r="U657" s="217"/>
      <c r="V657" s="216"/>
      <c r="W657" s="216"/>
      <c r="X657" s="216"/>
      <c r="Y657" s="216"/>
      <c r="Z657" s="216"/>
      <c r="AA657" s="216"/>
      <c r="AB657" s="216"/>
      <c r="AC657" s="216"/>
      <c r="AD657" s="216"/>
      <c r="AE657" s="216"/>
      <c r="AF657" s="216"/>
      <c r="AG657" s="216"/>
      <c r="AH657" s="216"/>
      <c r="AI657" s="216"/>
      <c r="AJ657" s="216"/>
      <c r="AK657" s="216"/>
      <c r="AL657" s="216"/>
      <c r="AM657" s="216"/>
      <c r="AN657" s="216"/>
    </row>
    <row r="658">
      <c r="B658" s="267"/>
      <c r="C658" s="266"/>
      <c r="D658" s="266"/>
      <c r="E658" s="266"/>
      <c r="F658" s="266"/>
      <c r="G658" s="266"/>
      <c r="H658" s="266"/>
      <c r="I658" s="266"/>
      <c r="J658" s="266"/>
      <c r="K658" s="266"/>
      <c r="L658" s="266"/>
      <c r="M658" s="266"/>
      <c r="N658" s="266"/>
      <c r="O658" s="266"/>
      <c r="P658" s="266"/>
      <c r="Q658" s="266"/>
      <c r="R658" s="266"/>
      <c r="S658" s="216"/>
      <c r="T658" s="216"/>
      <c r="U658" s="217"/>
      <c r="V658" s="216"/>
      <c r="W658" s="216"/>
      <c r="X658" s="216"/>
      <c r="Y658" s="216"/>
      <c r="Z658" s="216"/>
      <c r="AA658" s="216"/>
      <c r="AB658" s="216"/>
      <c r="AC658" s="216"/>
      <c r="AD658" s="216"/>
      <c r="AE658" s="216"/>
      <c r="AF658" s="216"/>
      <c r="AG658" s="216"/>
      <c r="AH658" s="216"/>
      <c r="AI658" s="216"/>
      <c r="AJ658" s="216"/>
      <c r="AK658" s="216"/>
      <c r="AL658" s="216"/>
      <c r="AM658" s="216"/>
      <c r="AN658" s="216"/>
    </row>
    <row r="659">
      <c r="B659" s="267"/>
      <c r="C659" s="266"/>
      <c r="D659" s="266"/>
      <c r="E659" s="266"/>
      <c r="F659" s="266"/>
      <c r="G659" s="266"/>
      <c r="H659" s="266"/>
      <c r="I659" s="266"/>
      <c r="J659" s="266"/>
      <c r="K659" s="266"/>
      <c r="L659" s="266"/>
      <c r="M659" s="266"/>
      <c r="N659" s="266"/>
      <c r="O659" s="266"/>
      <c r="P659" s="266"/>
      <c r="Q659" s="266"/>
      <c r="R659" s="266"/>
      <c r="S659" s="216"/>
      <c r="T659" s="216"/>
      <c r="U659" s="217"/>
      <c r="V659" s="216"/>
      <c r="W659" s="216"/>
      <c r="X659" s="216"/>
      <c r="Y659" s="216"/>
      <c r="Z659" s="216"/>
      <c r="AA659" s="216"/>
      <c r="AB659" s="216"/>
      <c r="AC659" s="216"/>
      <c r="AD659" s="216"/>
      <c r="AE659" s="216"/>
      <c r="AF659" s="216"/>
      <c r="AG659" s="216"/>
      <c r="AH659" s="216"/>
      <c r="AI659" s="216"/>
      <c r="AJ659" s="216"/>
      <c r="AK659" s="216"/>
      <c r="AL659" s="216"/>
      <c r="AM659" s="216"/>
      <c r="AN659" s="216"/>
    </row>
    <row r="660">
      <c r="B660" s="267"/>
      <c r="C660" s="266"/>
      <c r="D660" s="266"/>
      <c r="E660" s="266"/>
      <c r="F660" s="266"/>
      <c r="G660" s="266"/>
      <c r="H660" s="266"/>
      <c r="I660" s="266"/>
      <c r="J660" s="266"/>
      <c r="K660" s="266"/>
      <c r="L660" s="266"/>
      <c r="M660" s="266"/>
      <c r="N660" s="266"/>
      <c r="O660" s="266"/>
      <c r="P660" s="266"/>
      <c r="Q660" s="266"/>
      <c r="R660" s="266"/>
      <c r="S660" s="216"/>
      <c r="T660" s="216"/>
      <c r="U660" s="217"/>
      <c r="V660" s="216"/>
      <c r="W660" s="216"/>
      <c r="X660" s="216"/>
      <c r="Y660" s="216"/>
      <c r="Z660" s="216"/>
      <c r="AA660" s="216"/>
      <c r="AB660" s="216"/>
      <c r="AC660" s="216"/>
      <c r="AD660" s="216"/>
      <c r="AE660" s="216"/>
      <c r="AF660" s="216"/>
      <c r="AG660" s="216"/>
      <c r="AH660" s="216"/>
      <c r="AI660" s="216"/>
      <c r="AJ660" s="216"/>
      <c r="AK660" s="216"/>
      <c r="AL660" s="216"/>
      <c r="AM660" s="216"/>
      <c r="AN660" s="216"/>
    </row>
    <row r="661">
      <c r="B661" s="267"/>
      <c r="C661" s="266"/>
      <c r="D661" s="266"/>
      <c r="E661" s="266"/>
      <c r="F661" s="266"/>
      <c r="G661" s="266"/>
      <c r="H661" s="266"/>
      <c r="I661" s="266"/>
      <c r="J661" s="266"/>
      <c r="K661" s="266"/>
      <c r="L661" s="266"/>
      <c r="M661" s="266"/>
      <c r="N661" s="266"/>
      <c r="O661" s="266"/>
      <c r="P661" s="266"/>
      <c r="Q661" s="266"/>
      <c r="R661" s="266"/>
      <c r="S661" s="216"/>
      <c r="T661" s="216"/>
      <c r="U661" s="217"/>
      <c r="V661" s="216"/>
      <c r="W661" s="216"/>
      <c r="X661" s="216"/>
      <c r="Y661" s="216"/>
      <c r="Z661" s="216"/>
      <c r="AA661" s="216"/>
      <c r="AB661" s="216"/>
      <c r="AC661" s="216"/>
      <c r="AD661" s="216"/>
      <c r="AE661" s="216"/>
      <c r="AF661" s="216"/>
      <c r="AG661" s="216"/>
      <c r="AH661" s="216"/>
      <c r="AI661" s="216"/>
      <c r="AJ661" s="216"/>
      <c r="AK661" s="216"/>
      <c r="AL661" s="216"/>
      <c r="AM661" s="216"/>
      <c r="AN661" s="216"/>
    </row>
    <row r="662">
      <c r="B662" s="267"/>
      <c r="C662" s="266"/>
      <c r="D662" s="266"/>
      <c r="E662" s="266"/>
      <c r="F662" s="266"/>
      <c r="G662" s="266"/>
      <c r="H662" s="266"/>
      <c r="I662" s="266"/>
      <c r="J662" s="266"/>
      <c r="K662" s="266"/>
      <c r="L662" s="266"/>
      <c r="M662" s="266"/>
      <c r="N662" s="266"/>
      <c r="O662" s="266"/>
      <c r="P662" s="266"/>
      <c r="Q662" s="266"/>
      <c r="R662" s="266"/>
      <c r="S662" s="216"/>
      <c r="T662" s="216"/>
      <c r="U662" s="217"/>
      <c r="V662" s="216"/>
      <c r="W662" s="216"/>
      <c r="X662" s="216"/>
      <c r="Y662" s="216"/>
      <c r="Z662" s="216"/>
      <c r="AA662" s="216"/>
      <c r="AB662" s="216"/>
      <c r="AC662" s="216"/>
      <c r="AD662" s="216"/>
      <c r="AE662" s="216"/>
      <c r="AF662" s="216"/>
      <c r="AG662" s="216"/>
      <c r="AH662" s="216"/>
      <c r="AI662" s="216"/>
      <c r="AJ662" s="216"/>
      <c r="AK662" s="216"/>
      <c r="AL662" s="216"/>
      <c r="AM662" s="216"/>
      <c r="AN662" s="216"/>
    </row>
    <row r="663">
      <c r="B663" s="267"/>
      <c r="C663" s="266"/>
      <c r="D663" s="266"/>
      <c r="E663" s="266"/>
      <c r="F663" s="266"/>
      <c r="G663" s="266"/>
      <c r="H663" s="266"/>
      <c r="I663" s="266"/>
      <c r="J663" s="266"/>
      <c r="K663" s="266"/>
      <c r="L663" s="266"/>
      <c r="M663" s="266"/>
      <c r="N663" s="266"/>
      <c r="O663" s="266"/>
      <c r="P663" s="266"/>
      <c r="Q663" s="266"/>
      <c r="R663" s="266"/>
      <c r="S663" s="216"/>
      <c r="T663" s="216"/>
      <c r="U663" s="217"/>
      <c r="V663" s="216"/>
      <c r="W663" s="216"/>
      <c r="X663" s="216"/>
      <c r="Y663" s="216"/>
      <c r="Z663" s="216"/>
      <c r="AA663" s="216"/>
      <c r="AB663" s="216"/>
      <c r="AC663" s="216"/>
      <c r="AD663" s="216"/>
      <c r="AE663" s="216"/>
      <c r="AF663" s="216"/>
      <c r="AG663" s="216"/>
      <c r="AH663" s="216"/>
      <c r="AI663" s="216"/>
      <c r="AJ663" s="216"/>
      <c r="AK663" s="216"/>
      <c r="AL663" s="216"/>
      <c r="AM663" s="216"/>
      <c r="AN663" s="216"/>
    </row>
    <row r="664">
      <c r="B664" s="267"/>
      <c r="C664" s="266"/>
      <c r="D664" s="266"/>
      <c r="E664" s="266"/>
      <c r="F664" s="266"/>
      <c r="G664" s="266"/>
      <c r="H664" s="266"/>
      <c r="I664" s="266"/>
      <c r="J664" s="266"/>
      <c r="K664" s="266"/>
      <c r="L664" s="266"/>
      <c r="M664" s="266"/>
      <c r="N664" s="266"/>
      <c r="O664" s="266"/>
      <c r="P664" s="266"/>
      <c r="Q664" s="266"/>
      <c r="R664" s="266"/>
      <c r="S664" s="216"/>
      <c r="T664" s="216"/>
      <c r="U664" s="217"/>
      <c r="V664" s="216"/>
      <c r="W664" s="216"/>
      <c r="X664" s="216"/>
      <c r="Y664" s="216"/>
      <c r="Z664" s="216"/>
      <c r="AA664" s="216"/>
      <c r="AB664" s="216"/>
      <c r="AC664" s="216"/>
      <c r="AD664" s="216"/>
      <c r="AE664" s="216"/>
      <c r="AF664" s="216"/>
      <c r="AG664" s="216"/>
      <c r="AH664" s="216"/>
      <c r="AI664" s="216"/>
      <c r="AJ664" s="216"/>
      <c r="AK664" s="216"/>
      <c r="AL664" s="216"/>
      <c r="AM664" s="216"/>
      <c r="AN664" s="216"/>
    </row>
    <row r="665">
      <c r="B665" s="267"/>
      <c r="C665" s="266"/>
      <c r="D665" s="266"/>
      <c r="E665" s="266"/>
      <c r="F665" s="266"/>
      <c r="G665" s="266"/>
      <c r="H665" s="266"/>
      <c r="I665" s="266"/>
      <c r="J665" s="266"/>
      <c r="K665" s="266"/>
      <c r="L665" s="266"/>
      <c r="M665" s="266"/>
      <c r="N665" s="266"/>
      <c r="O665" s="266"/>
      <c r="P665" s="266"/>
      <c r="Q665" s="266"/>
      <c r="R665" s="266"/>
      <c r="S665" s="216"/>
      <c r="T665" s="216"/>
      <c r="U665" s="217"/>
      <c r="V665" s="216"/>
      <c r="W665" s="216"/>
      <c r="X665" s="216"/>
      <c r="Y665" s="216"/>
      <c r="Z665" s="216"/>
      <c r="AA665" s="216"/>
      <c r="AB665" s="216"/>
      <c r="AC665" s="216"/>
      <c r="AD665" s="216"/>
      <c r="AE665" s="216"/>
      <c r="AF665" s="216"/>
      <c r="AG665" s="216"/>
      <c r="AH665" s="216"/>
      <c r="AI665" s="216"/>
      <c r="AJ665" s="216"/>
      <c r="AK665" s="216"/>
      <c r="AL665" s="216"/>
      <c r="AM665" s="216"/>
      <c r="AN665" s="216"/>
    </row>
    <row r="666">
      <c r="B666" s="267"/>
      <c r="C666" s="266"/>
      <c r="D666" s="266"/>
      <c r="E666" s="266"/>
      <c r="F666" s="266"/>
      <c r="G666" s="266"/>
      <c r="H666" s="266"/>
      <c r="I666" s="266"/>
      <c r="J666" s="266"/>
      <c r="K666" s="266"/>
      <c r="L666" s="266"/>
      <c r="M666" s="266"/>
      <c r="N666" s="266"/>
      <c r="O666" s="266"/>
      <c r="P666" s="266"/>
      <c r="Q666" s="266"/>
      <c r="R666" s="266"/>
      <c r="S666" s="216"/>
      <c r="T666" s="216"/>
      <c r="U666" s="217"/>
      <c r="V666" s="216"/>
      <c r="W666" s="216"/>
      <c r="X666" s="216"/>
      <c r="Y666" s="216"/>
      <c r="Z666" s="216"/>
      <c r="AA666" s="216"/>
      <c r="AB666" s="216"/>
      <c r="AC666" s="216"/>
      <c r="AD666" s="216"/>
      <c r="AE666" s="216"/>
      <c r="AF666" s="216"/>
      <c r="AG666" s="216"/>
      <c r="AH666" s="216"/>
      <c r="AI666" s="216"/>
      <c r="AJ666" s="216"/>
      <c r="AK666" s="216"/>
      <c r="AL666" s="216"/>
      <c r="AM666" s="216"/>
      <c r="AN666" s="216"/>
    </row>
    <row r="667">
      <c r="B667" s="267"/>
      <c r="C667" s="266"/>
      <c r="D667" s="266"/>
      <c r="E667" s="266"/>
      <c r="F667" s="266"/>
      <c r="G667" s="266"/>
      <c r="H667" s="266"/>
      <c r="I667" s="266"/>
      <c r="J667" s="266"/>
      <c r="K667" s="266"/>
      <c r="L667" s="266"/>
      <c r="M667" s="266"/>
      <c r="N667" s="266"/>
      <c r="O667" s="266"/>
      <c r="P667" s="266"/>
      <c r="Q667" s="266"/>
      <c r="R667" s="266"/>
      <c r="S667" s="216"/>
      <c r="T667" s="216"/>
      <c r="U667" s="217"/>
      <c r="V667" s="216"/>
      <c r="W667" s="216"/>
      <c r="X667" s="216"/>
      <c r="Y667" s="216"/>
      <c r="Z667" s="216"/>
      <c r="AA667" s="216"/>
      <c r="AB667" s="216"/>
      <c r="AC667" s="216"/>
      <c r="AD667" s="216"/>
      <c r="AE667" s="216"/>
      <c r="AF667" s="216"/>
      <c r="AG667" s="216"/>
      <c r="AH667" s="216"/>
      <c r="AI667" s="216"/>
      <c r="AJ667" s="216"/>
      <c r="AK667" s="216"/>
      <c r="AL667" s="216"/>
      <c r="AM667" s="216"/>
      <c r="AN667" s="216"/>
    </row>
    <row r="668">
      <c r="B668" s="267"/>
      <c r="C668" s="266"/>
      <c r="D668" s="266"/>
      <c r="E668" s="266"/>
      <c r="F668" s="266"/>
      <c r="G668" s="266"/>
      <c r="H668" s="266"/>
      <c r="I668" s="266"/>
      <c r="J668" s="266"/>
      <c r="K668" s="266"/>
      <c r="L668" s="266"/>
      <c r="M668" s="266"/>
      <c r="N668" s="266"/>
      <c r="O668" s="266"/>
      <c r="P668" s="266"/>
      <c r="Q668" s="266"/>
      <c r="R668" s="266"/>
      <c r="S668" s="216"/>
      <c r="T668" s="216"/>
      <c r="U668" s="217"/>
      <c r="V668" s="216"/>
      <c r="W668" s="216"/>
      <c r="X668" s="216"/>
      <c r="Y668" s="216"/>
      <c r="Z668" s="216"/>
      <c r="AA668" s="216"/>
      <c r="AB668" s="216"/>
      <c r="AC668" s="216"/>
      <c r="AD668" s="216"/>
      <c r="AE668" s="216"/>
      <c r="AF668" s="216"/>
      <c r="AG668" s="216"/>
      <c r="AH668" s="216"/>
      <c r="AI668" s="216"/>
      <c r="AJ668" s="216"/>
      <c r="AK668" s="216"/>
      <c r="AL668" s="216"/>
      <c r="AM668" s="216"/>
      <c r="AN668" s="216"/>
    </row>
    <row r="669">
      <c r="B669" s="267"/>
      <c r="C669" s="266"/>
      <c r="D669" s="266"/>
      <c r="E669" s="266"/>
      <c r="F669" s="266"/>
      <c r="G669" s="266"/>
      <c r="H669" s="266"/>
      <c r="I669" s="266"/>
      <c r="J669" s="266"/>
      <c r="K669" s="266"/>
      <c r="L669" s="266"/>
      <c r="M669" s="266"/>
      <c r="N669" s="266"/>
      <c r="O669" s="266"/>
      <c r="P669" s="266"/>
      <c r="Q669" s="266"/>
      <c r="R669" s="266"/>
      <c r="S669" s="216"/>
      <c r="T669" s="216"/>
      <c r="U669" s="217"/>
      <c r="V669" s="216"/>
      <c r="W669" s="216"/>
      <c r="X669" s="216"/>
      <c r="Y669" s="216"/>
      <c r="Z669" s="216"/>
      <c r="AA669" s="216"/>
      <c r="AB669" s="216"/>
      <c r="AC669" s="216"/>
      <c r="AD669" s="216"/>
      <c r="AE669" s="216"/>
      <c r="AF669" s="216"/>
      <c r="AG669" s="216"/>
      <c r="AH669" s="216"/>
      <c r="AI669" s="216"/>
      <c r="AJ669" s="216"/>
      <c r="AK669" s="216"/>
      <c r="AL669" s="216"/>
      <c r="AM669" s="216"/>
      <c r="AN669" s="216"/>
    </row>
    <row r="670">
      <c r="B670" s="267"/>
      <c r="C670" s="266"/>
      <c r="D670" s="266"/>
      <c r="E670" s="266"/>
      <c r="F670" s="266"/>
      <c r="G670" s="266"/>
      <c r="H670" s="266"/>
      <c r="I670" s="266"/>
      <c r="J670" s="266"/>
      <c r="K670" s="266"/>
      <c r="L670" s="266"/>
      <c r="M670" s="266"/>
      <c r="N670" s="266"/>
      <c r="O670" s="266"/>
      <c r="P670" s="266"/>
      <c r="Q670" s="266"/>
      <c r="R670" s="266"/>
      <c r="S670" s="216"/>
      <c r="T670" s="216"/>
      <c r="U670" s="217"/>
      <c r="V670" s="216"/>
      <c r="W670" s="216"/>
      <c r="X670" s="216"/>
      <c r="Y670" s="216"/>
      <c r="Z670" s="216"/>
      <c r="AA670" s="216"/>
      <c r="AB670" s="216"/>
      <c r="AC670" s="216"/>
      <c r="AD670" s="216"/>
      <c r="AE670" s="216"/>
      <c r="AF670" s="216"/>
      <c r="AG670" s="216"/>
      <c r="AH670" s="216"/>
      <c r="AI670" s="216"/>
      <c r="AJ670" s="216"/>
      <c r="AK670" s="216"/>
      <c r="AL670" s="216"/>
      <c r="AM670" s="216"/>
      <c r="AN670" s="216"/>
    </row>
    <row r="671">
      <c r="B671" s="267"/>
      <c r="C671" s="266"/>
      <c r="D671" s="266"/>
      <c r="E671" s="266"/>
      <c r="F671" s="266"/>
      <c r="G671" s="266"/>
      <c r="H671" s="266"/>
      <c r="I671" s="266"/>
      <c r="J671" s="266"/>
      <c r="K671" s="266"/>
      <c r="L671" s="266"/>
      <c r="M671" s="266"/>
      <c r="N671" s="266"/>
      <c r="O671" s="266"/>
      <c r="P671" s="266"/>
      <c r="Q671" s="266"/>
      <c r="R671" s="266"/>
      <c r="S671" s="216"/>
      <c r="T671" s="216"/>
      <c r="U671" s="217"/>
      <c r="V671" s="216"/>
      <c r="W671" s="216"/>
      <c r="X671" s="216"/>
      <c r="Y671" s="216"/>
      <c r="Z671" s="216"/>
      <c r="AA671" s="216"/>
      <c r="AB671" s="216"/>
      <c r="AC671" s="216"/>
      <c r="AD671" s="216"/>
      <c r="AE671" s="216"/>
      <c r="AF671" s="216"/>
      <c r="AG671" s="216"/>
      <c r="AH671" s="216"/>
      <c r="AI671" s="216"/>
      <c r="AJ671" s="216"/>
      <c r="AK671" s="216"/>
      <c r="AL671" s="216"/>
      <c r="AM671" s="216"/>
      <c r="AN671" s="216"/>
    </row>
    <row r="672">
      <c r="B672" s="267"/>
      <c r="C672" s="266"/>
      <c r="D672" s="266"/>
      <c r="E672" s="266"/>
      <c r="F672" s="266"/>
      <c r="G672" s="266"/>
      <c r="H672" s="266"/>
      <c r="I672" s="266"/>
      <c r="J672" s="266"/>
      <c r="K672" s="266"/>
      <c r="L672" s="266"/>
      <c r="M672" s="266"/>
      <c r="N672" s="266"/>
      <c r="O672" s="266"/>
      <c r="P672" s="266"/>
      <c r="Q672" s="266"/>
      <c r="R672" s="266"/>
      <c r="S672" s="216"/>
      <c r="T672" s="216"/>
      <c r="U672" s="217"/>
      <c r="V672" s="216"/>
      <c r="W672" s="216"/>
      <c r="X672" s="216"/>
      <c r="Y672" s="216"/>
      <c r="Z672" s="216"/>
      <c r="AA672" s="216"/>
      <c r="AB672" s="216"/>
      <c r="AC672" s="216"/>
      <c r="AD672" s="216"/>
      <c r="AE672" s="216"/>
      <c r="AF672" s="216"/>
      <c r="AG672" s="216"/>
      <c r="AH672" s="216"/>
      <c r="AI672" s="216"/>
      <c r="AJ672" s="216"/>
      <c r="AK672" s="216"/>
      <c r="AL672" s="216"/>
      <c r="AM672" s="216"/>
      <c r="AN672" s="216"/>
    </row>
    <row r="673">
      <c r="B673" s="267"/>
      <c r="C673" s="266"/>
      <c r="D673" s="266"/>
      <c r="E673" s="266"/>
      <c r="F673" s="266"/>
      <c r="G673" s="266"/>
      <c r="H673" s="266"/>
      <c r="I673" s="266"/>
      <c r="J673" s="266"/>
      <c r="K673" s="266"/>
      <c r="L673" s="266"/>
      <c r="M673" s="266"/>
      <c r="N673" s="266"/>
      <c r="O673" s="266"/>
      <c r="P673" s="266"/>
      <c r="Q673" s="266"/>
      <c r="R673" s="266"/>
      <c r="S673" s="216"/>
      <c r="T673" s="216"/>
      <c r="U673" s="217"/>
      <c r="V673" s="216"/>
      <c r="W673" s="216"/>
      <c r="X673" s="216"/>
      <c r="Y673" s="216"/>
      <c r="Z673" s="216"/>
      <c r="AA673" s="216"/>
      <c r="AB673" s="216"/>
      <c r="AC673" s="216"/>
      <c r="AD673" s="216"/>
      <c r="AE673" s="216"/>
      <c r="AF673" s="216"/>
      <c r="AG673" s="216"/>
      <c r="AH673" s="216"/>
      <c r="AI673" s="216"/>
      <c r="AJ673" s="216"/>
      <c r="AK673" s="216"/>
      <c r="AL673" s="216"/>
      <c r="AM673" s="216"/>
      <c r="AN673" s="216"/>
    </row>
    <row r="674">
      <c r="B674" s="267"/>
      <c r="C674" s="266"/>
      <c r="D674" s="266"/>
      <c r="E674" s="266"/>
      <c r="F674" s="266"/>
      <c r="G674" s="266"/>
      <c r="H674" s="266"/>
      <c r="I674" s="266"/>
      <c r="J674" s="266"/>
      <c r="K674" s="266"/>
      <c r="L674" s="266"/>
      <c r="M674" s="266"/>
      <c r="N674" s="266"/>
      <c r="O674" s="266"/>
      <c r="P674" s="266"/>
      <c r="Q674" s="266"/>
      <c r="R674" s="266"/>
      <c r="S674" s="216"/>
      <c r="T674" s="216"/>
      <c r="U674" s="217"/>
      <c r="V674" s="216"/>
      <c r="W674" s="216"/>
      <c r="X674" s="216"/>
      <c r="Y674" s="216"/>
      <c r="Z674" s="216"/>
      <c r="AA674" s="216"/>
      <c r="AB674" s="216"/>
      <c r="AC674" s="216"/>
      <c r="AD674" s="216"/>
      <c r="AE674" s="216"/>
      <c r="AF674" s="216"/>
      <c r="AG674" s="216"/>
      <c r="AH674" s="216"/>
      <c r="AI674" s="216"/>
      <c r="AJ674" s="216"/>
      <c r="AK674" s="216"/>
      <c r="AL674" s="216"/>
      <c r="AM674" s="216"/>
      <c r="AN674" s="216"/>
    </row>
    <row r="675">
      <c r="B675" s="267"/>
      <c r="C675" s="266"/>
      <c r="D675" s="266"/>
      <c r="E675" s="266"/>
      <c r="F675" s="266"/>
      <c r="G675" s="266"/>
      <c r="H675" s="266"/>
      <c r="I675" s="266"/>
      <c r="J675" s="266"/>
      <c r="K675" s="266"/>
      <c r="L675" s="266"/>
      <c r="M675" s="266"/>
      <c r="N675" s="266"/>
      <c r="O675" s="266"/>
      <c r="P675" s="266"/>
      <c r="Q675" s="266"/>
      <c r="R675" s="266"/>
      <c r="S675" s="216"/>
      <c r="T675" s="216"/>
      <c r="U675" s="217"/>
      <c r="V675" s="216"/>
      <c r="W675" s="216"/>
      <c r="X675" s="216"/>
      <c r="Y675" s="216"/>
      <c r="Z675" s="216"/>
      <c r="AA675" s="216"/>
      <c r="AB675" s="216"/>
      <c r="AC675" s="216"/>
      <c r="AD675" s="216"/>
      <c r="AE675" s="216"/>
      <c r="AF675" s="216"/>
      <c r="AG675" s="216"/>
      <c r="AH675" s="216"/>
      <c r="AI675" s="216"/>
      <c r="AJ675" s="216"/>
      <c r="AK675" s="216"/>
      <c r="AL675" s="216"/>
      <c r="AM675" s="216"/>
      <c r="AN675" s="216"/>
    </row>
    <row r="676">
      <c r="B676" s="267"/>
      <c r="C676" s="266"/>
      <c r="D676" s="266"/>
      <c r="E676" s="266"/>
      <c r="F676" s="266"/>
      <c r="G676" s="266"/>
      <c r="H676" s="266"/>
      <c r="I676" s="266"/>
      <c r="J676" s="266"/>
      <c r="K676" s="266"/>
      <c r="L676" s="266"/>
      <c r="M676" s="266"/>
      <c r="N676" s="266"/>
      <c r="O676" s="266"/>
      <c r="P676" s="266"/>
      <c r="Q676" s="266"/>
      <c r="R676" s="266"/>
      <c r="S676" s="216"/>
      <c r="T676" s="216"/>
      <c r="U676" s="217"/>
      <c r="V676" s="216"/>
      <c r="W676" s="216"/>
      <c r="X676" s="216"/>
      <c r="Y676" s="216"/>
      <c r="Z676" s="216"/>
      <c r="AA676" s="216"/>
      <c r="AB676" s="216"/>
      <c r="AC676" s="216"/>
      <c r="AD676" s="216"/>
      <c r="AE676" s="216"/>
      <c r="AF676" s="216"/>
      <c r="AG676" s="216"/>
      <c r="AH676" s="216"/>
      <c r="AI676" s="216"/>
      <c r="AJ676" s="216"/>
      <c r="AK676" s="216"/>
      <c r="AL676" s="216"/>
      <c r="AM676" s="216"/>
      <c r="AN676" s="216"/>
    </row>
    <row r="677">
      <c r="B677" s="267"/>
      <c r="C677" s="266"/>
      <c r="D677" s="266"/>
      <c r="E677" s="266"/>
      <c r="F677" s="266"/>
      <c r="G677" s="266"/>
      <c r="H677" s="266"/>
      <c r="I677" s="266"/>
      <c r="J677" s="266"/>
      <c r="K677" s="266"/>
      <c r="L677" s="266"/>
      <c r="M677" s="266"/>
      <c r="N677" s="266"/>
      <c r="O677" s="266"/>
      <c r="P677" s="266"/>
      <c r="Q677" s="266"/>
      <c r="R677" s="266"/>
      <c r="S677" s="216"/>
      <c r="T677" s="216"/>
      <c r="U677" s="217"/>
      <c r="V677" s="216"/>
      <c r="W677" s="216"/>
      <c r="X677" s="216"/>
      <c r="Y677" s="216"/>
      <c r="Z677" s="216"/>
      <c r="AA677" s="216"/>
      <c r="AB677" s="216"/>
      <c r="AC677" s="216"/>
      <c r="AD677" s="216"/>
      <c r="AE677" s="216"/>
      <c r="AF677" s="216"/>
      <c r="AG677" s="216"/>
      <c r="AH677" s="216"/>
      <c r="AI677" s="216"/>
      <c r="AJ677" s="216"/>
      <c r="AK677" s="216"/>
      <c r="AL677" s="216"/>
      <c r="AM677" s="216"/>
      <c r="AN677" s="216"/>
    </row>
    <row r="678">
      <c r="B678" s="267"/>
      <c r="C678" s="266"/>
      <c r="D678" s="266"/>
      <c r="E678" s="266"/>
      <c r="F678" s="266"/>
      <c r="G678" s="266"/>
      <c r="H678" s="266"/>
      <c r="I678" s="266"/>
      <c r="J678" s="266"/>
      <c r="K678" s="266"/>
      <c r="L678" s="266"/>
      <c r="M678" s="266"/>
      <c r="N678" s="266"/>
      <c r="O678" s="266"/>
      <c r="P678" s="266"/>
      <c r="Q678" s="266"/>
      <c r="R678" s="266"/>
      <c r="S678" s="216"/>
      <c r="T678" s="216"/>
      <c r="U678" s="217"/>
      <c r="V678" s="216"/>
      <c r="W678" s="216"/>
      <c r="X678" s="216"/>
      <c r="Y678" s="216"/>
      <c r="Z678" s="216"/>
      <c r="AA678" s="216"/>
      <c r="AB678" s="216"/>
      <c r="AC678" s="216"/>
      <c r="AD678" s="216"/>
      <c r="AE678" s="216"/>
      <c r="AF678" s="216"/>
      <c r="AG678" s="216"/>
      <c r="AH678" s="216"/>
      <c r="AI678" s="216"/>
      <c r="AJ678" s="216"/>
      <c r="AK678" s="216"/>
      <c r="AL678" s="216"/>
      <c r="AM678" s="216"/>
      <c r="AN678" s="216"/>
    </row>
    <row r="679">
      <c r="B679" s="267"/>
      <c r="C679" s="266"/>
      <c r="D679" s="266"/>
      <c r="E679" s="266"/>
      <c r="F679" s="266"/>
      <c r="G679" s="266"/>
      <c r="H679" s="266"/>
      <c r="I679" s="266"/>
      <c r="J679" s="266"/>
      <c r="K679" s="266"/>
      <c r="L679" s="266"/>
      <c r="M679" s="266"/>
      <c r="N679" s="266"/>
      <c r="O679" s="266"/>
      <c r="P679" s="266"/>
      <c r="Q679" s="266"/>
      <c r="R679" s="266"/>
      <c r="S679" s="216"/>
      <c r="T679" s="216"/>
      <c r="U679" s="217"/>
      <c r="V679" s="216"/>
      <c r="W679" s="216"/>
      <c r="X679" s="216"/>
      <c r="Y679" s="216"/>
      <c r="Z679" s="216"/>
      <c r="AA679" s="216"/>
      <c r="AB679" s="216"/>
      <c r="AC679" s="216"/>
      <c r="AD679" s="216"/>
      <c r="AE679" s="216"/>
      <c r="AF679" s="216"/>
      <c r="AG679" s="216"/>
      <c r="AH679" s="216"/>
      <c r="AI679" s="216"/>
      <c r="AJ679" s="216"/>
      <c r="AK679" s="216"/>
      <c r="AL679" s="216"/>
      <c r="AM679" s="216"/>
      <c r="AN679" s="216"/>
    </row>
    <row r="680">
      <c r="B680" s="267"/>
      <c r="C680" s="266"/>
      <c r="D680" s="266"/>
      <c r="E680" s="266"/>
      <c r="F680" s="266"/>
      <c r="G680" s="266"/>
      <c r="H680" s="266"/>
      <c r="I680" s="266"/>
      <c r="J680" s="266"/>
      <c r="K680" s="266"/>
      <c r="L680" s="266"/>
      <c r="M680" s="266"/>
      <c r="N680" s="266"/>
      <c r="O680" s="266"/>
      <c r="P680" s="266"/>
      <c r="Q680" s="266"/>
      <c r="R680" s="266"/>
      <c r="S680" s="216"/>
      <c r="T680" s="216"/>
      <c r="U680" s="217"/>
      <c r="V680" s="216"/>
      <c r="W680" s="216"/>
      <c r="X680" s="216"/>
      <c r="Y680" s="216"/>
      <c r="Z680" s="216"/>
      <c r="AA680" s="216"/>
      <c r="AB680" s="216"/>
      <c r="AC680" s="216"/>
      <c r="AD680" s="216"/>
      <c r="AE680" s="216"/>
      <c r="AF680" s="216"/>
      <c r="AG680" s="216"/>
      <c r="AH680" s="216"/>
      <c r="AI680" s="216"/>
      <c r="AJ680" s="216"/>
      <c r="AK680" s="216"/>
      <c r="AL680" s="216"/>
      <c r="AM680" s="216"/>
      <c r="AN680" s="216"/>
    </row>
    <row r="681">
      <c r="B681" s="267"/>
      <c r="C681" s="266"/>
      <c r="D681" s="266"/>
      <c r="E681" s="266"/>
      <c r="F681" s="266"/>
      <c r="G681" s="266"/>
      <c r="H681" s="266"/>
      <c r="I681" s="266"/>
      <c r="J681" s="266"/>
      <c r="K681" s="266"/>
      <c r="L681" s="266"/>
      <c r="M681" s="266"/>
      <c r="N681" s="266"/>
      <c r="O681" s="266"/>
      <c r="P681" s="266"/>
      <c r="Q681" s="266"/>
      <c r="R681" s="266"/>
      <c r="S681" s="216"/>
      <c r="T681" s="216"/>
      <c r="U681" s="217"/>
      <c r="V681" s="216"/>
      <c r="W681" s="216"/>
      <c r="X681" s="216"/>
      <c r="Y681" s="216"/>
      <c r="Z681" s="216"/>
      <c r="AA681" s="216"/>
      <c r="AB681" s="216"/>
      <c r="AC681" s="216"/>
      <c r="AD681" s="216"/>
      <c r="AE681" s="216"/>
      <c r="AF681" s="216"/>
      <c r="AG681" s="216"/>
      <c r="AH681" s="216"/>
      <c r="AI681" s="216"/>
      <c r="AJ681" s="216"/>
      <c r="AK681" s="216"/>
      <c r="AL681" s="216"/>
      <c r="AM681" s="216"/>
      <c r="AN681" s="216"/>
    </row>
    <row r="682">
      <c r="B682" s="267"/>
      <c r="C682" s="266"/>
      <c r="D682" s="266"/>
      <c r="E682" s="266"/>
      <c r="F682" s="266"/>
      <c r="G682" s="266"/>
      <c r="H682" s="266"/>
      <c r="I682" s="266"/>
      <c r="J682" s="266"/>
      <c r="K682" s="266"/>
      <c r="L682" s="266"/>
      <c r="M682" s="266"/>
      <c r="N682" s="266"/>
      <c r="O682" s="266"/>
      <c r="P682" s="266"/>
      <c r="Q682" s="266"/>
      <c r="R682" s="266"/>
      <c r="S682" s="216"/>
      <c r="T682" s="216"/>
      <c r="U682" s="217"/>
      <c r="V682" s="216"/>
      <c r="W682" s="216"/>
      <c r="X682" s="216"/>
      <c r="Y682" s="216"/>
      <c r="Z682" s="216"/>
      <c r="AA682" s="216"/>
      <c r="AB682" s="216"/>
      <c r="AC682" s="216"/>
      <c r="AD682" s="216"/>
      <c r="AE682" s="216"/>
      <c r="AF682" s="216"/>
      <c r="AG682" s="216"/>
      <c r="AH682" s="216"/>
      <c r="AI682" s="216"/>
      <c r="AJ682" s="216"/>
      <c r="AK682" s="216"/>
      <c r="AL682" s="216"/>
      <c r="AM682" s="216"/>
      <c r="AN682" s="216"/>
    </row>
    <row r="683">
      <c r="B683" s="267"/>
      <c r="C683" s="266"/>
      <c r="D683" s="266"/>
      <c r="E683" s="266"/>
      <c r="F683" s="266"/>
      <c r="G683" s="266"/>
      <c r="H683" s="266"/>
      <c r="I683" s="266"/>
      <c r="J683" s="266"/>
      <c r="K683" s="266"/>
      <c r="L683" s="266"/>
      <c r="M683" s="266"/>
      <c r="N683" s="266"/>
      <c r="O683" s="266"/>
      <c r="P683" s="266"/>
      <c r="Q683" s="266"/>
      <c r="R683" s="266"/>
      <c r="S683" s="216"/>
      <c r="T683" s="216"/>
      <c r="U683" s="217"/>
      <c r="V683" s="216"/>
      <c r="W683" s="216"/>
      <c r="X683" s="216"/>
      <c r="Y683" s="216"/>
      <c r="Z683" s="216"/>
      <c r="AA683" s="216"/>
      <c r="AB683" s="216"/>
      <c r="AC683" s="216"/>
      <c r="AD683" s="216"/>
      <c r="AE683" s="216"/>
      <c r="AF683" s="216"/>
      <c r="AG683" s="216"/>
      <c r="AH683" s="216"/>
      <c r="AI683" s="216"/>
      <c r="AJ683" s="216"/>
      <c r="AK683" s="216"/>
      <c r="AL683" s="216"/>
      <c r="AM683" s="216"/>
      <c r="AN683" s="216"/>
    </row>
    <row r="684">
      <c r="B684" s="267"/>
      <c r="C684" s="266"/>
      <c r="D684" s="266"/>
      <c r="E684" s="266"/>
      <c r="F684" s="266"/>
      <c r="G684" s="266"/>
      <c r="H684" s="266"/>
      <c r="I684" s="266"/>
      <c r="J684" s="266"/>
      <c r="K684" s="266"/>
      <c r="L684" s="266"/>
      <c r="M684" s="266"/>
      <c r="N684" s="266"/>
      <c r="O684" s="266"/>
      <c r="P684" s="266"/>
      <c r="Q684" s="266"/>
      <c r="R684" s="266"/>
      <c r="S684" s="216"/>
      <c r="T684" s="216"/>
      <c r="U684" s="217"/>
      <c r="V684" s="216"/>
      <c r="W684" s="216"/>
      <c r="X684" s="216"/>
      <c r="Y684" s="216"/>
      <c r="Z684" s="216"/>
      <c r="AA684" s="216"/>
      <c r="AB684" s="216"/>
      <c r="AC684" s="216"/>
      <c r="AD684" s="216"/>
      <c r="AE684" s="216"/>
      <c r="AF684" s="216"/>
      <c r="AG684" s="216"/>
      <c r="AH684" s="216"/>
      <c r="AI684" s="216"/>
      <c r="AJ684" s="216"/>
      <c r="AK684" s="216"/>
      <c r="AL684" s="216"/>
      <c r="AM684" s="216"/>
      <c r="AN684" s="216"/>
    </row>
    <row r="685">
      <c r="B685" s="267"/>
      <c r="C685" s="266"/>
      <c r="D685" s="266"/>
      <c r="E685" s="266"/>
      <c r="F685" s="266"/>
      <c r="G685" s="266"/>
      <c r="H685" s="266"/>
      <c r="I685" s="266"/>
      <c r="J685" s="266"/>
      <c r="K685" s="266"/>
      <c r="L685" s="266"/>
      <c r="M685" s="266"/>
      <c r="N685" s="266"/>
      <c r="O685" s="266"/>
      <c r="P685" s="266"/>
      <c r="Q685" s="266"/>
      <c r="R685" s="266"/>
      <c r="S685" s="216"/>
      <c r="T685" s="216"/>
      <c r="U685" s="217"/>
      <c r="V685" s="216"/>
      <c r="W685" s="216"/>
      <c r="X685" s="216"/>
      <c r="Y685" s="216"/>
      <c r="Z685" s="216"/>
      <c r="AA685" s="216"/>
      <c r="AB685" s="216"/>
      <c r="AC685" s="216"/>
      <c r="AD685" s="216"/>
      <c r="AE685" s="216"/>
      <c r="AF685" s="216"/>
      <c r="AG685" s="216"/>
      <c r="AH685" s="216"/>
      <c r="AI685" s="216"/>
      <c r="AJ685" s="216"/>
      <c r="AK685" s="216"/>
      <c r="AL685" s="216"/>
      <c r="AM685" s="216"/>
      <c r="AN685" s="216"/>
    </row>
    <row r="686">
      <c r="B686" s="267"/>
      <c r="C686" s="266"/>
      <c r="D686" s="266"/>
      <c r="E686" s="266"/>
      <c r="F686" s="266"/>
      <c r="G686" s="266"/>
      <c r="H686" s="266"/>
      <c r="I686" s="266"/>
      <c r="J686" s="266"/>
      <c r="K686" s="266"/>
      <c r="L686" s="266"/>
      <c r="M686" s="266"/>
      <c r="N686" s="266"/>
      <c r="O686" s="266"/>
      <c r="P686" s="266"/>
      <c r="Q686" s="266"/>
      <c r="R686" s="266"/>
      <c r="S686" s="216"/>
      <c r="T686" s="216"/>
      <c r="U686" s="217"/>
      <c r="V686" s="216"/>
      <c r="W686" s="216"/>
      <c r="X686" s="216"/>
      <c r="Y686" s="216"/>
      <c r="Z686" s="216"/>
      <c r="AA686" s="216"/>
      <c r="AB686" s="216"/>
      <c r="AC686" s="216"/>
      <c r="AD686" s="216"/>
      <c r="AE686" s="216"/>
      <c r="AF686" s="216"/>
      <c r="AG686" s="216"/>
      <c r="AH686" s="216"/>
      <c r="AI686" s="216"/>
      <c r="AJ686" s="216"/>
      <c r="AK686" s="216"/>
      <c r="AL686" s="216"/>
      <c r="AM686" s="216"/>
      <c r="AN686" s="216"/>
    </row>
    <row r="687">
      <c r="B687" s="267"/>
      <c r="C687" s="266"/>
      <c r="D687" s="266"/>
      <c r="E687" s="266"/>
      <c r="F687" s="266"/>
      <c r="G687" s="266"/>
      <c r="H687" s="266"/>
      <c r="I687" s="266"/>
      <c r="J687" s="266"/>
      <c r="K687" s="266"/>
      <c r="L687" s="266"/>
      <c r="M687" s="266"/>
      <c r="N687" s="266"/>
      <c r="O687" s="266"/>
      <c r="P687" s="266"/>
      <c r="Q687" s="266"/>
      <c r="R687" s="266"/>
      <c r="S687" s="216"/>
      <c r="T687" s="216"/>
      <c r="U687" s="217"/>
      <c r="V687" s="216"/>
      <c r="W687" s="216"/>
      <c r="X687" s="216"/>
      <c r="Y687" s="216"/>
      <c r="Z687" s="216"/>
      <c r="AA687" s="216"/>
      <c r="AB687" s="216"/>
      <c r="AC687" s="216"/>
      <c r="AD687" s="216"/>
      <c r="AE687" s="216"/>
      <c r="AF687" s="216"/>
      <c r="AG687" s="216"/>
      <c r="AH687" s="216"/>
      <c r="AI687" s="216"/>
      <c r="AJ687" s="216"/>
      <c r="AK687" s="216"/>
      <c r="AL687" s="216"/>
      <c r="AM687" s="216"/>
      <c r="AN687" s="216"/>
    </row>
    <row r="688">
      <c r="B688" s="267"/>
      <c r="C688" s="266"/>
      <c r="D688" s="266"/>
      <c r="E688" s="266"/>
      <c r="F688" s="266"/>
      <c r="G688" s="266"/>
      <c r="H688" s="266"/>
      <c r="I688" s="266"/>
      <c r="J688" s="266"/>
      <c r="K688" s="266"/>
      <c r="L688" s="266"/>
      <c r="M688" s="266"/>
      <c r="N688" s="266"/>
      <c r="O688" s="266"/>
      <c r="P688" s="266"/>
      <c r="Q688" s="266"/>
      <c r="R688" s="266"/>
      <c r="S688" s="216"/>
      <c r="T688" s="216"/>
      <c r="U688" s="217"/>
      <c r="V688" s="216"/>
      <c r="W688" s="216"/>
      <c r="X688" s="216"/>
      <c r="Y688" s="216"/>
      <c r="Z688" s="216"/>
      <c r="AA688" s="216"/>
      <c r="AB688" s="216"/>
      <c r="AC688" s="216"/>
      <c r="AD688" s="216"/>
      <c r="AE688" s="216"/>
      <c r="AF688" s="216"/>
      <c r="AG688" s="216"/>
      <c r="AH688" s="216"/>
      <c r="AI688" s="216"/>
      <c r="AJ688" s="216"/>
      <c r="AK688" s="216"/>
      <c r="AL688" s="216"/>
      <c r="AM688" s="216"/>
      <c r="AN688" s="216"/>
    </row>
    <row r="689">
      <c r="B689" s="267"/>
      <c r="C689" s="266"/>
      <c r="D689" s="266"/>
      <c r="E689" s="266"/>
      <c r="F689" s="266"/>
      <c r="G689" s="266"/>
      <c r="H689" s="266"/>
      <c r="I689" s="266"/>
      <c r="J689" s="266"/>
      <c r="K689" s="266"/>
      <c r="L689" s="266"/>
      <c r="M689" s="266"/>
      <c r="N689" s="266"/>
      <c r="O689" s="266"/>
      <c r="P689" s="266"/>
      <c r="Q689" s="266"/>
      <c r="R689" s="266"/>
      <c r="S689" s="216"/>
      <c r="T689" s="216"/>
      <c r="U689" s="217"/>
      <c r="V689" s="216"/>
      <c r="W689" s="216"/>
      <c r="X689" s="216"/>
      <c r="Y689" s="216"/>
      <c r="Z689" s="216"/>
      <c r="AA689" s="216"/>
      <c r="AB689" s="216"/>
      <c r="AC689" s="216"/>
      <c r="AD689" s="216"/>
      <c r="AE689" s="216"/>
      <c r="AF689" s="216"/>
      <c r="AG689" s="216"/>
      <c r="AH689" s="216"/>
      <c r="AI689" s="216"/>
      <c r="AJ689" s="216"/>
      <c r="AK689" s="216"/>
      <c r="AL689" s="216"/>
      <c r="AM689" s="216"/>
      <c r="AN689" s="216"/>
    </row>
    <row r="690">
      <c r="B690" s="267"/>
      <c r="C690" s="266"/>
      <c r="D690" s="266"/>
      <c r="E690" s="266"/>
      <c r="F690" s="266"/>
      <c r="G690" s="266"/>
      <c r="H690" s="266"/>
      <c r="I690" s="266"/>
      <c r="J690" s="266"/>
      <c r="K690" s="266"/>
      <c r="L690" s="266"/>
      <c r="M690" s="266"/>
      <c r="N690" s="266"/>
      <c r="O690" s="266"/>
      <c r="P690" s="266"/>
      <c r="Q690" s="266"/>
      <c r="R690" s="266"/>
      <c r="S690" s="216"/>
      <c r="T690" s="216"/>
      <c r="U690" s="217"/>
      <c r="V690" s="216"/>
      <c r="W690" s="216"/>
      <c r="X690" s="216"/>
      <c r="Y690" s="216"/>
      <c r="Z690" s="216"/>
      <c r="AA690" s="216"/>
      <c r="AB690" s="216"/>
      <c r="AC690" s="216"/>
      <c r="AD690" s="216"/>
      <c r="AE690" s="216"/>
      <c r="AF690" s="216"/>
      <c r="AG690" s="216"/>
      <c r="AH690" s="216"/>
      <c r="AI690" s="216"/>
      <c r="AJ690" s="216"/>
      <c r="AK690" s="216"/>
      <c r="AL690" s="216"/>
      <c r="AM690" s="216"/>
      <c r="AN690" s="216"/>
    </row>
    <row r="691">
      <c r="B691" s="267"/>
      <c r="C691" s="266"/>
      <c r="D691" s="266"/>
      <c r="E691" s="266"/>
      <c r="F691" s="266"/>
      <c r="G691" s="266"/>
      <c r="H691" s="266"/>
      <c r="I691" s="266"/>
      <c r="J691" s="266"/>
      <c r="K691" s="266"/>
      <c r="L691" s="266"/>
      <c r="M691" s="266"/>
      <c r="N691" s="266"/>
      <c r="O691" s="266"/>
      <c r="P691" s="266"/>
      <c r="Q691" s="266"/>
      <c r="R691" s="266"/>
      <c r="S691" s="216"/>
      <c r="T691" s="216"/>
      <c r="U691" s="217"/>
      <c r="V691" s="216"/>
      <c r="W691" s="216"/>
      <c r="X691" s="216"/>
      <c r="Y691" s="216"/>
      <c r="Z691" s="216"/>
      <c r="AA691" s="216"/>
      <c r="AB691" s="216"/>
      <c r="AC691" s="216"/>
      <c r="AD691" s="216"/>
      <c r="AE691" s="216"/>
      <c r="AF691" s="216"/>
      <c r="AG691" s="216"/>
      <c r="AH691" s="216"/>
      <c r="AI691" s="216"/>
      <c r="AJ691" s="216"/>
      <c r="AK691" s="216"/>
      <c r="AL691" s="216"/>
      <c r="AM691" s="216"/>
      <c r="AN691" s="216"/>
    </row>
    <row r="692">
      <c r="B692" s="267"/>
      <c r="C692" s="266"/>
      <c r="D692" s="266"/>
      <c r="E692" s="266"/>
      <c r="F692" s="266"/>
      <c r="G692" s="266"/>
      <c r="H692" s="266"/>
      <c r="I692" s="266"/>
      <c r="J692" s="266"/>
      <c r="K692" s="266"/>
      <c r="L692" s="266"/>
      <c r="M692" s="266"/>
      <c r="N692" s="266"/>
      <c r="O692" s="266"/>
      <c r="P692" s="266"/>
      <c r="Q692" s="266"/>
      <c r="R692" s="266"/>
      <c r="S692" s="216"/>
      <c r="T692" s="216"/>
      <c r="U692" s="217"/>
      <c r="V692" s="216"/>
      <c r="W692" s="216"/>
      <c r="X692" s="216"/>
      <c r="Y692" s="216"/>
      <c r="Z692" s="216"/>
      <c r="AA692" s="216"/>
      <c r="AB692" s="216"/>
      <c r="AC692" s="216"/>
      <c r="AD692" s="216"/>
      <c r="AE692" s="216"/>
      <c r="AF692" s="216"/>
      <c r="AG692" s="216"/>
      <c r="AH692" s="216"/>
      <c r="AI692" s="216"/>
      <c r="AJ692" s="216"/>
      <c r="AK692" s="216"/>
      <c r="AL692" s="216"/>
      <c r="AM692" s="216"/>
      <c r="AN692" s="216"/>
    </row>
    <row r="693">
      <c r="B693" s="267"/>
      <c r="C693" s="266"/>
      <c r="D693" s="266"/>
      <c r="E693" s="266"/>
      <c r="F693" s="266"/>
      <c r="G693" s="266"/>
      <c r="H693" s="266"/>
      <c r="I693" s="266"/>
      <c r="J693" s="266"/>
      <c r="K693" s="266"/>
      <c r="L693" s="266"/>
      <c r="M693" s="266"/>
      <c r="N693" s="266"/>
      <c r="O693" s="266"/>
      <c r="P693" s="266"/>
      <c r="Q693" s="266"/>
      <c r="R693" s="266"/>
      <c r="S693" s="216"/>
      <c r="T693" s="216"/>
      <c r="U693" s="217"/>
      <c r="V693" s="216"/>
      <c r="W693" s="216"/>
      <c r="X693" s="216"/>
      <c r="Y693" s="216"/>
      <c r="Z693" s="216"/>
      <c r="AA693" s="216"/>
      <c r="AB693" s="216"/>
      <c r="AC693" s="216"/>
      <c r="AD693" s="216"/>
      <c r="AE693" s="216"/>
      <c r="AF693" s="216"/>
      <c r="AG693" s="216"/>
      <c r="AH693" s="216"/>
      <c r="AI693" s="216"/>
      <c r="AJ693" s="216"/>
      <c r="AK693" s="216"/>
      <c r="AL693" s="216"/>
      <c r="AM693" s="216"/>
      <c r="AN693" s="216"/>
    </row>
    <row r="694">
      <c r="B694" s="267"/>
      <c r="C694" s="266"/>
      <c r="D694" s="266"/>
      <c r="E694" s="266"/>
      <c r="F694" s="266"/>
      <c r="G694" s="266"/>
      <c r="H694" s="266"/>
      <c r="I694" s="266"/>
      <c r="J694" s="266"/>
      <c r="K694" s="266"/>
      <c r="L694" s="266"/>
      <c r="M694" s="266"/>
      <c r="N694" s="266"/>
      <c r="O694" s="266"/>
      <c r="P694" s="266"/>
      <c r="Q694" s="266"/>
      <c r="R694" s="266"/>
      <c r="S694" s="216"/>
      <c r="T694" s="216"/>
      <c r="U694" s="217"/>
      <c r="V694" s="216"/>
      <c r="W694" s="216"/>
      <c r="X694" s="216"/>
      <c r="Y694" s="216"/>
      <c r="Z694" s="216"/>
      <c r="AA694" s="216"/>
      <c r="AB694" s="216"/>
      <c r="AC694" s="216"/>
      <c r="AD694" s="216"/>
      <c r="AE694" s="216"/>
      <c r="AF694" s="216"/>
      <c r="AG694" s="216"/>
      <c r="AH694" s="216"/>
      <c r="AI694" s="216"/>
      <c r="AJ694" s="216"/>
      <c r="AK694" s="216"/>
      <c r="AL694" s="216"/>
      <c r="AM694" s="216"/>
      <c r="AN694" s="216"/>
    </row>
    <row r="695">
      <c r="B695" s="267"/>
      <c r="C695" s="266"/>
      <c r="D695" s="266"/>
      <c r="E695" s="266"/>
      <c r="F695" s="266"/>
      <c r="G695" s="266"/>
      <c r="H695" s="266"/>
      <c r="I695" s="266"/>
      <c r="J695" s="266"/>
      <c r="K695" s="266"/>
      <c r="L695" s="266"/>
      <c r="M695" s="266"/>
      <c r="N695" s="266"/>
      <c r="O695" s="266"/>
      <c r="P695" s="266"/>
      <c r="Q695" s="266"/>
      <c r="R695" s="266"/>
      <c r="S695" s="216"/>
      <c r="T695" s="216"/>
      <c r="U695" s="217"/>
      <c r="V695" s="216"/>
      <c r="W695" s="216"/>
      <c r="X695" s="216"/>
      <c r="Y695" s="216"/>
      <c r="Z695" s="216"/>
      <c r="AA695" s="216"/>
      <c r="AB695" s="216"/>
      <c r="AC695" s="216"/>
      <c r="AD695" s="216"/>
      <c r="AE695" s="216"/>
      <c r="AF695" s="216"/>
      <c r="AG695" s="216"/>
      <c r="AH695" s="216"/>
      <c r="AI695" s="216"/>
      <c r="AJ695" s="216"/>
      <c r="AK695" s="216"/>
      <c r="AL695" s="216"/>
      <c r="AM695" s="216"/>
      <c r="AN695" s="216"/>
    </row>
    <row r="696">
      <c r="B696" s="267"/>
      <c r="C696" s="266"/>
      <c r="D696" s="266"/>
      <c r="E696" s="266"/>
      <c r="F696" s="266"/>
      <c r="G696" s="266"/>
      <c r="H696" s="266"/>
      <c r="I696" s="266"/>
      <c r="J696" s="266"/>
      <c r="K696" s="266"/>
      <c r="L696" s="266"/>
      <c r="M696" s="266"/>
      <c r="N696" s="266"/>
      <c r="O696" s="266"/>
      <c r="P696" s="266"/>
      <c r="Q696" s="266"/>
      <c r="R696" s="266"/>
      <c r="S696" s="216"/>
      <c r="T696" s="216"/>
      <c r="U696" s="217"/>
      <c r="V696" s="216"/>
      <c r="W696" s="216"/>
      <c r="X696" s="216"/>
      <c r="Y696" s="216"/>
      <c r="Z696" s="216"/>
      <c r="AA696" s="216"/>
      <c r="AB696" s="216"/>
      <c r="AC696" s="216"/>
      <c r="AD696" s="216"/>
      <c r="AE696" s="216"/>
      <c r="AF696" s="216"/>
      <c r="AG696" s="216"/>
      <c r="AH696" s="216"/>
      <c r="AI696" s="216"/>
      <c r="AJ696" s="216"/>
      <c r="AK696" s="216"/>
      <c r="AL696" s="216"/>
      <c r="AM696" s="216"/>
      <c r="AN696" s="216"/>
    </row>
    <row r="697">
      <c r="B697" s="267"/>
      <c r="C697" s="266"/>
      <c r="D697" s="266"/>
      <c r="E697" s="266"/>
      <c r="F697" s="266"/>
      <c r="G697" s="266"/>
      <c r="H697" s="266"/>
      <c r="I697" s="266"/>
      <c r="J697" s="266"/>
      <c r="K697" s="266"/>
      <c r="L697" s="266"/>
      <c r="M697" s="266"/>
      <c r="N697" s="266"/>
      <c r="O697" s="266"/>
      <c r="P697" s="266"/>
      <c r="Q697" s="266"/>
      <c r="R697" s="266"/>
      <c r="S697" s="216"/>
      <c r="T697" s="216"/>
      <c r="U697" s="217"/>
      <c r="V697" s="216"/>
      <c r="W697" s="216"/>
      <c r="X697" s="216"/>
      <c r="Y697" s="216"/>
      <c r="Z697" s="216"/>
      <c r="AA697" s="216"/>
      <c r="AB697" s="216"/>
      <c r="AC697" s="216"/>
      <c r="AD697" s="216"/>
      <c r="AE697" s="216"/>
      <c r="AF697" s="216"/>
      <c r="AG697" s="216"/>
      <c r="AH697" s="216"/>
      <c r="AI697" s="216"/>
      <c r="AJ697" s="216"/>
      <c r="AK697" s="216"/>
      <c r="AL697" s="216"/>
      <c r="AM697" s="216"/>
      <c r="AN697" s="216"/>
    </row>
    <row r="698">
      <c r="B698" s="267"/>
      <c r="C698" s="266"/>
      <c r="D698" s="266"/>
      <c r="E698" s="266"/>
      <c r="F698" s="266"/>
      <c r="G698" s="266"/>
      <c r="H698" s="266"/>
      <c r="I698" s="266"/>
      <c r="J698" s="266"/>
      <c r="K698" s="266"/>
      <c r="L698" s="266"/>
      <c r="M698" s="266"/>
      <c r="N698" s="266"/>
      <c r="O698" s="266"/>
      <c r="P698" s="266"/>
      <c r="Q698" s="266"/>
      <c r="R698" s="266"/>
      <c r="S698" s="216"/>
      <c r="T698" s="216"/>
      <c r="U698" s="217"/>
      <c r="V698" s="216"/>
      <c r="W698" s="216"/>
      <c r="X698" s="216"/>
      <c r="Y698" s="216"/>
      <c r="Z698" s="216"/>
      <c r="AA698" s="216"/>
      <c r="AB698" s="216"/>
      <c r="AC698" s="216"/>
      <c r="AD698" s="216"/>
      <c r="AE698" s="216"/>
      <c r="AF698" s="216"/>
      <c r="AG698" s="216"/>
      <c r="AH698" s="216"/>
      <c r="AI698" s="216"/>
      <c r="AJ698" s="216"/>
      <c r="AK698" s="216"/>
      <c r="AL698" s="216"/>
      <c r="AM698" s="216"/>
      <c r="AN698" s="216"/>
    </row>
    <row r="699">
      <c r="B699" s="267"/>
      <c r="C699" s="266"/>
      <c r="D699" s="266"/>
      <c r="E699" s="266"/>
      <c r="F699" s="266"/>
      <c r="G699" s="266"/>
      <c r="H699" s="266"/>
      <c r="I699" s="266"/>
      <c r="J699" s="266"/>
      <c r="K699" s="266"/>
      <c r="L699" s="266"/>
      <c r="M699" s="266"/>
      <c r="N699" s="266"/>
      <c r="O699" s="266"/>
      <c r="P699" s="266"/>
      <c r="Q699" s="266"/>
      <c r="R699" s="266"/>
      <c r="S699" s="216"/>
      <c r="T699" s="216"/>
      <c r="U699" s="217"/>
      <c r="V699" s="216"/>
      <c r="W699" s="216"/>
      <c r="X699" s="216"/>
      <c r="Y699" s="216"/>
      <c r="Z699" s="216"/>
      <c r="AA699" s="216"/>
      <c r="AB699" s="216"/>
      <c r="AC699" s="216"/>
      <c r="AD699" s="216"/>
      <c r="AE699" s="216"/>
      <c r="AF699" s="216"/>
      <c r="AG699" s="216"/>
      <c r="AH699" s="216"/>
      <c r="AI699" s="216"/>
      <c r="AJ699" s="216"/>
      <c r="AK699" s="216"/>
      <c r="AL699" s="216"/>
      <c r="AM699" s="216"/>
      <c r="AN699" s="216"/>
    </row>
    <row r="700">
      <c r="B700" s="267"/>
      <c r="C700" s="266"/>
      <c r="D700" s="266"/>
      <c r="E700" s="266"/>
      <c r="F700" s="266"/>
      <c r="G700" s="266"/>
      <c r="H700" s="266"/>
      <c r="I700" s="266"/>
      <c r="J700" s="266"/>
      <c r="K700" s="266"/>
      <c r="L700" s="266"/>
      <c r="M700" s="266"/>
      <c r="N700" s="266"/>
      <c r="O700" s="266"/>
      <c r="P700" s="266"/>
      <c r="Q700" s="266"/>
      <c r="R700" s="266"/>
      <c r="S700" s="216"/>
      <c r="T700" s="216"/>
      <c r="U700" s="217"/>
      <c r="V700" s="216"/>
      <c r="W700" s="216"/>
      <c r="X700" s="216"/>
      <c r="Y700" s="216"/>
      <c r="Z700" s="216"/>
      <c r="AA700" s="216"/>
      <c r="AB700" s="216"/>
      <c r="AC700" s="216"/>
      <c r="AD700" s="216"/>
      <c r="AE700" s="216"/>
      <c r="AF700" s="216"/>
      <c r="AG700" s="216"/>
      <c r="AH700" s="216"/>
      <c r="AI700" s="216"/>
      <c r="AJ700" s="216"/>
      <c r="AK700" s="216"/>
      <c r="AL700" s="216"/>
      <c r="AM700" s="216"/>
      <c r="AN700" s="216"/>
    </row>
    <row r="701">
      <c r="B701" s="267"/>
      <c r="C701" s="266"/>
      <c r="D701" s="266"/>
      <c r="E701" s="266"/>
      <c r="F701" s="266"/>
      <c r="G701" s="266"/>
      <c r="H701" s="266"/>
      <c r="I701" s="266"/>
      <c r="J701" s="266"/>
      <c r="K701" s="266"/>
      <c r="L701" s="266"/>
      <c r="M701" s="266"/>
      <c r="N701" s="266"/>
      <c r="O701" s="266"/>
      <c r="P701" s="266"/>
      <c r="Q701" s="266"/>
      <c r="R701" s="266"/>
      <c r="S701" s="216"/>
      <c r="T701" s="216"/>
      <c r="U701" s="217"/>
      <c r="V701" s="216"/>
      <c r="W701" s="216"/>
      <c r="X701" s="216"/>
      <c r="Y701" s="216"/>
      <c r="Z701" s="216"/>
      <c r="AA701" s="216"/>
      <c r="AB701" s="216"/>
      <c r="AC701" s="216"/>
      <c r="AD701" s="216"/>
      <c r="AE701" s="216"/>
      <c r="AF701" s="216"/>
      <c r="AG701" s="216"/>
      <c r="AH701" s="216"/>
      <c r="AI701" s="216"/>
      <c r="AJ701" s="216"/>
      <c r="AK701" s="216"/>
      <c r="AL701" s="216"/>
      <c r="AM701" s="216"/>
      <c r="AN701" s="216"/>
    </row>
    <row r="702">
      <c r="B702" s="267"/>
      <c r="C702" s="266"/>
      <c r="D702" s="266"/>
      <c r="E702" s="266"/>
      <c r="F702" s="266"/>
      <c r="G702" s="266"/>
      <c r="H702" s="266"/>
      <c r="I702" s="266"/>
      <c r="J702" s="266"/>
      <c r="K702" s="266"/>
      <c r="L702" s="266"/>
      <c r="M702" s="266"/>
      <c r="N702" s="266"/>
      <c r="O702" s="266"/>
      <c r="P702" s="266"/>
      <c r="Q702" s="266"/>
      <c r="R702" s="266"/>
      <c r="S702" s="216"/>
      <c r="T702" s="216"/>
      <c r="U702" s="217"/>
      <c r="V702" s="216"/>
      <c r="W702" s="216"/>
      <c r="X702" s="216"/>
      <c r="Y702" s="216"/>
      <c r="Z702" s="216"/>
      <c r="AA702" s="216"/>
      <c r="AB702" s="216"/>
      <c r="AC702" s="216"/>
      <c r="AD702" s="216"/>
      <c r="AE702" s="216"/>
      <c r="AF702" s="216"/>
      <c r="AG702" s="216"/>
      <c r="AH702" s="216"/>
      <c r="AI702" s="216"/>
      <c r="AJ702" s="216"/>
      <c r="AK702" s="216"/>
      <c r="AL702" s="216"/>
      <c r="AM702" s="216"/>
      <c r="AN702" s="216"/>
    </row>
    <row r="703">
      <c r="B703" s="267"/>
      <c r="C703" s="266"/>
      <c r="D703" s="266"/>
      <c r="E703" s="266"/>
      <c r="F703" s="266"/>
      <c r="G703" s="266"/>
      <c r="H703" s="266"/>
      <c r="I703" s="266"/>
      <c r="J703" s="266"/>
      <c r="K703" s="266"/>
      <c r="L703" s="266"/>
      <c r="M703" s="266"/>
      <c r="N703" s="266"/>
      <c r="O703" s="266"/>
      <c r="P703" s="266"/>
      <c r="Q703" s="266"/>
      <c r="R703" s="266"/>
      <c r="S703" s="216"/>
      <c r="T703" s="216"/>
      <c r="U703" s="217"/>
      <c r="V703" s="216"/>
      <c r="W703" s="216"/>
      <c r="X703" s="216"/>
      <c r="Y703" s="216"/>
      <c r="Z703" s="216"/>
      <c r="AA703" s="216"/>
      <c r="AB703" s="216"/>
      <c r="AC703" s="216"/>
      <c r="AD703" s="216"/>
      <c r="AE703" s="216"/>
      <c r="AF703" s="216"/>
      <c r="AG703" s="216"/>
      <c r="AH703" s="216"/>
      <c r="AI703" s="216"/>
      <c r="AJ703" s="216"/>
      <c r="AK703" s="216"/>
      <c r="AL703" s="216"/>
      <c r="AM703" s="216"/>
      <c r="AN703" s="216"/>
    </row>
    <row r="704">
      <c r="B704" s="267"/>
      <c r="C704" s="266"/>
      <c r="D704" s="266"/>
      <c r="E704" s="266"/>
      <c r="F704" s="266"/>
      <c r="G704" s="266"/>
      <c r="H704" s="266"/>
      <c r="I704" s="266"/>
      <c r="J704" s="266"/>
      <c r="K704" s="266"/>
      <c r="L704" s="266"/>
      <c r="M704" s="266"/>
      <c r="N704" s="266"/>
      <c r="O704" s="266"/>
      <c r="P704" s="266"/>
      <c r="Q704" s="266"/>
      <c r="R704" s="266"/>
      <c r="S704" s="216"/>
      <c r="T704" s="216"/>
      <c r="U704" s="217"/>
      <c r="V704" s="216"/>
      <c r="W704" s="216"/>
      <c r="X704" s="216"/>
      <c r="Y704" s="216"/>
      <c r="Z704" s="216"/>
      <c r="AA704" s="216"/>
      <c r="AB704" s="216"/>
      <c r="AC704" s="216"/>
      <c r="AD704" s="216"/>
      <c r="AE704" s="216"/>
      <c r="AF704" s="216"/>
      <c r="AG704" s="216"/>
      <c r="AH704" s="216"/>
      <c r="AI704" s="216"/>
      <c r="AJ704" s="216"/>
      <c r="AK704" s="216"/>
      <c r="AL704" s="216"/>
      <c r="AM704" s="216"/>
      <c r="AN704" s="216"/>
    </row>
    <row r="705">
      <c r="B705" s="267"/>
      <c r="C705" s="266"/>
      <c r="D705" s="266"/>
      <c r="E705" s="266"/>
      <c r="F705" s="266"/>
      <c r="G705" s="266"/>
      <c r="H705" s="266"/>
      <c r="I705" s="266"/>
      <c r="J705" s="266"/>
      <c r="K705" s="266"/>
      <c r="L705" s="266"/>
      <c r="M705" s="266"/>
      <c r="N705" s="266"/>
      <c r="O705" s="266"/>
      <c r="P705" s="266"/>
      <c r="Q705" s="266"/>
      <c r="R705" s="266"/>
      <c r="S705" s="216"/>
      <c r="T705" s="216"/>
      <c r="U705" s="217"/>
      <c r="V705" s="216"/>
      <c r="W705" s="216"/>
      <c r="X705" s="216"/>
      <c r="Y705" s="216"/>
      <c r="Z705" s="216"/>
      <c r="AA705" s="216"/>
      <c r="AB705" s="216"/>
      <c r="AC705" s="216"/>
      <c r="AD705" s="216"/>
      <c r="AE705" s="216"/>
      <c r="AF705" s="216"/>
      <c r="AG705" s="216"/>
      <c r="AH705" s="216"/>
      <c r="AI705" s="216"/>
      <c r="AJ705" s="216"/>
      <c r="AK705" s="216"/>
      <c r="AL705" s="216"/>
      <c r="AM705" s="216"/>
      <c r="AN705" s="216"/>
    </row>
    <row r="706">
      <c r="B706" s="267"/>
      <c r="C706" s="266"/>
      <c r="D706" s="266"/>
      <c r="E706" s="266"/>
      <c r="F706" s="266"/>
      <c r="G706" s="266"/>
      <c r="H706" s="266"/>
      <c r="I706" s="266"/>
      <c r="J706" s="266"/>
      <c r="K706" s="266"/>
      <c r="L706" s="266"/>
      <c r="M706" s="266"/>
      <c r="N706" s="266"/>
      <c r="O706" s="266"/>
      <c r="P706" s="266"/>
      <c r="Q706" s="266"/>
      <c r="R706" s="266"/>
      <c r="S706" s="216"/>
      <c r="T706" s="216"/>
      <c r="U706" s="217"/>
      <c r="V706" s="216"/>
      <c r="W706" s="216"/>
      <c r="X706" s="216"/>
      <c r="Y706" s="216"/>
      <c r="Z706" s="216"/>
      <c r="AA706" s="216"/>
      <c r="AB706" s="216"/>
      <c r="AC706" s="216"/>
      <c r="AD706" s="216"/>
      <c r="AE706" s="216"/>
      <c r="AF706" s="216"/>
      <c r="AG706" s="216"/>
      <c r="AH706" s="216"/>
      <c r="AI706" s="216"/>
      <c r="AJ706" s="216"/>
      <c r="AK706" s="216"/>
      <c r="AL706" s="216"/>
      <c r="AM706" s="216"/>
      <c r="AN706" s="216"/>
    </row>
    <row r="707">
      <c r="B707" s="267"/>
      <c r="C707" s="266"/>
      <c r="D707" s="266"/>
      <c r="E707" s="266"/>
      <c r="F707" s="266"/>
      <c r="G707" s="266"/>
      <c r="H707" s="266"/>
      <c r="I707" s="266"/>
      <c r="J707" s="266"/>
      <c r="K707" s="266"/>
      <c r="L707" s="266"/>
      <c r="M707" s="266"/>
      <c r="N707" s="266"/>
      <c r="O707" s="266"/>
      <c r="P707" s="266"/>
      <c r="Q707" s="266"/>
      <c r="R707" s="266"/>
      <c r="S707" s="216"/>
      <c r="T707" s="216"/>
      <c r="U707" s="217"/>
      <c r="V707" s="216"/>
      <c r="W707" s="216"/>
      <c r="X707" s="216"/>
      <c r="Y707" s="216"/>
      <c r="Z707" s="216"/>
      <c r="AA707" s="216"/>
      <c r="AB707" s="216"/>
      <c r="AC707" s="216"/>
      <c r="AD707" s="216"/>
      <c r="AE707" s="216"/>
      <c r="AF707" s="216"/>
      <c r="AG707" s="216"/>
      <c r="AH707" s="216"/>
      <c r="AI707" s="216"/>
      <c r="AJ707" s="216"/>
      <c r="AK707" s="216"/>
      <c r="AL707" s="216"/>
      <c r="AM707" s="216"/>
      <c r="AN707" s="216"/>
    </row>
    <row r="708">
      <c r="B708" s="267"/>
      <c r="C708" s="266"/>
      <c r="D708" s="266"/>
      <c r="E708" s="266"/>
      <c r="F708" s="266"/>
      <c r="G708" s="266"/>
      <c r="H708" s="266"/>
      <c r="I708" s="266"/>
      <c r="J708" s="266"/>
      <c r="K708" s="266"/>
      <c r="L708" s="266"/>
      <c r="M708" s="266"/>
      <c r="N708" s="266"/>
      <c r="O708" s="266"/>
      <c r="P708" s="266"/>
      <c r="Q708" s="266"/>
      <c r="R708" s="266"/>
      <c r="S708" s="216"/>
      <c r="T708" s="216"/>
      <c r="U708" s="217"/>
      <c r="V708" s="216"/>
      <c r="W708" s="216"/>
      <c r="X708" s="216"/>
      <c r="Y708" s="216"/>
      <c r="Z708" s="216"/>
      <c r="AA708" s="216"/>
      <c r="AB708" s="216"/>
      <c r="AC708" s="216"/>
      <c r="AD708" s="216"/>
      <c r="AE708" s="216"/>
      <c r="AF708" s="216"/>
      <c r="AG708" s="216"/>
      <c r="AH708" s="216"/>
      <c r="AI708" s="216"/>
      <c r="AJ708" s="216"/>
      <c r="AK708" s="216"/>
      <c r="AL708" s="216"/>
      <c r="AM708" s="216"/>
      <c r="AN708" s="216"/>
    </row>
    <row r="709">
      <c r="B709" s="267"/>
      <c r="C709" s="266"/>
      <c r="D709" s="266"/>
      <c r="E709" s="266"/>
      <c r="F709" s="266"/>
      <c r="G709" s="266"/>
      <c r="H709" s="266"/>
      <c r="I709" s="266"/>
      <c r="J709" s="266"/>
      <c r="K709" s="266"/>
      <c r="L709" s="266"/>
      <c r="M709" s="266"/>
      <c r="N709" s="266"/>
      <c r="O709" s="266"/>
      <c r="P709" s="266"/>
      <c r="Q709" s="266"/>
      <c r="R709" s="266"/>
      <c r="S709" s="216"/>
      <c r="T709" s="216"/>
      <c r="U709" s="217"/>
      <c r="V709" s="216"/>
      <c r="W709" s="216"/>
      <c r="X709" s="216"/>
      <c r="Y709" s="216"/>
      <c r="Z709" s="216"/>
      <c r="AA709" s="216"/>
      <c r="AB709" s="216"/>
      <c r="AC709" s="216"/>
      <c r="AD709" s="216"/>
      <c r="AE709" s="216"/>
      <c r="AF709" s="216"/>
      <c r="AG709" s="216"/>
      <c r="AH709" s="216"/>
      <c r="AI709" s="216"/>
      <c r="AJ709" s="216"/>
      <c r="AK709" s="216"/>
      <c r="AL709" s="216"/>
      <c r="AM709" s="216"/>
      <c r="AN709" s="216"/>
    </row>
    <row r="710">
      <c r="B710" s="267"/>
      <c r="C710" s="266"/>
      <c r="D710" s="266"/>
      <c r="E710" s="266"/>
      <c r="F710" s="266"/>
      <c r="G710" s="266"/>
      <c r="H710" s="266"/>
      <c r="I710" s="266"/>
      <c r="J710" s="266"/>
      <c r="K710" s="266"/>
      <c r="L710" s="266"/>
      <c r="M710" s="266"/>
      <c r="N710" s="266"/>
      <c r="O710" s="266"/>
      <c r="P710" s="266"/>
      <c r="Q710" s="266"/>
      <c r="R710" s="266"/>
      <c r="S710" s="216"/>
      <c r="T710" s="216"/>
      <c r="U710" s="217"/>
      <c r="V710" s="216"/>
      <c r="W710" s="216"/>
      <c r="X710" s="216"/>
      <c r="Y710" s="216"/>
      <c r="Z710" s="216"/>
      <c r="AA710" s="216"/>
      <c r="AB710" s="216"/>
      <c r="AC710" s="216"/>
      <c r="AD710" s="216"/>
      <c r="AE710" s="216"/>
      <c r="AF710" s="216"/>
      <c r="AG710" s="216"/>
      <c r="AH710" s="216"/>
      <c r="AI710" s="216"/>
      <c r="AJ710" s="216"/>
      <c r="AK710" s="216"/>
      <c r="AL710" s="216"/>
      <c r="AM710" s="216"/>
      <c r="AN710" s="216"/>
    </row>
    <row r="711">
      <c r="B711" s="267"/>
      <c r="C711" s="266"/>
      <c r="D711" s="266"/>
      <c r="E711" s="266"/>
      <c r="F711" s="266"/>
      <c r="G711" s="266"/>
      <c r="H711" s="266"/>
      <c r="I711" s="266"/>
      <c r="J711" s="266"/>
      <c r="K711" s="266"/>
      <c r="L711" s="266"/>
      <c r="M711" s="266"/>
      <c r="N711" s="266"/>
      <c r="O711" s="266"/>
      <c r="P711" s="266"/>
      <c r="Q711" s="266"/>
      <c r="R711" s="266"/>
      <c r="S711" s="216"/>
      <c r="T711" s="216"/>
      <c r="U711" s="217"/>
      <c r="V711" s="216"/>
      <c r="W711" s="216"/>
      <c r="X711" s="216"/>
      <c r="Y711" s="216"/>
      <c r="Z711" s="216"/>
      <c r="AA711" s="216"/>
      <c r="AB711" s="216"/>
      <c r="AC711" s="216"/>
      <c r="AD711" s="216"/>
      <c r="AE711" s="216"/>
      <c r="AF711" s="216"/>
      <c r="AG711" s="216"/>
      <c r="AH711" s="216"/>
      <c r="AI711" s="216"/>
      <c r="AJ711" s="216"/>
      <c r="AK711" s="216"/>
      <c r="AL711" s="216"/>
      <c r="AM711" s="216"/>
      <c r="AN711" s="216"/>
    </row>
    <row r="712">
      <c r="B712" s="267"/>
      <c r="C712" s="266"/>
      <c r="D712" s="266"/>
      <c r="E712" s="266"/>
      <c r="F712" s="266"/>
      <c r="G712" s="266"/>
      <c r="H712" s="266"/>
      <c r="I712" s="266"/>
      <c r="J712" s="266"/>
      <c r="K712" s="266"/>
      <c r="L712" s="266"/>
      <c r="M712" s="266"/>
      <c r="N712" s="266"/>
      <c r="O712" s="266"/>
      <c r="P712" s="266"/>
      <c r="Q712" s="266"/>
      <c r="R712" s="266"/>
      <c r="S712" s="216"/>
      <c r="T712" s="216"/>
      <c r="U712" s="217"/>
      <c r="V712" s="216"/>
      <c r="W712" s="216"/>
      <c r="X712" s="216"/>
      <c r="Y712" s="216"/>
      <c r="Z712" s="216"/>
      <c r="AA712" s="216"/>
      <c r="AB712" s="216"/>
      <c r="AC712" s="216"/>
      <c r="AD712" s="216"/>
      <c r="AE712" s="216"/>
      <c r="AF712" s="216"/>
      <c r="AG712" s="216"/>
      <c r="AH712" s="216"/>
      <c r="AI712" s="216"/>
      <c r="AJ712" s="216"/>
      <c r="AK712" s="216"/>
      <c r="AL712" s="216"/>
      <c r="AM712" s="216"/>
      <c r="AN712" s="216"/>
    </row>
    <row r="713">
      <c r="B713" s="267"/>
      <c r="C713" s="266"/>
      <c r="D713" s="266"/>
      <c r="E713" s="266"/>
      <c r="F713" s="266"/>
      <c r="G713" s="266"/>
      <c r="H713" s="266"/>
      <c r="I713" s="266"/>
      <c r="J713" s="266"/>
      <c r="K713" s="266"/>
      <c r="L713" s="266"/>
      <c r="M713" s="266"/>
      <c r="N713" s="266"/>
      <c r="O713" s="266"/>
      <c r="P713" s="266"/>
      <c r="Q713" s="266"/>
      <c r="R713" s="266"/>
      <c r="S713" s="216"/>
      <c r="T713" s="216"/>
      <c r="U713" s="217"/>
      <c r="V713" s="216"/>
      <c r="W713" s="216"/>
      <c r="X713" s="216"/>
      <c r="Y713" s="216"/>
      <c r="Z713" s="216"/>
      <c r="AA713" s="216"/>
      <c r="AB713" s="216"/>
      <c r="AC713" s="216"/>
      <c r="AD713" s="216"/>
      <c r="AE713" s="216"/>
      <c r="AF713" s="216"/>
      <c r="AG713" s="216"/>
      <c r="AH713" s="216"/>
      <c r="AI713" s="216"/>
      <c r="AJ713" s="216"/>
      <c r="AK713" s="216"/>
      <c r="AL713" s="216"/>
      <c r="AM713" s="216"/>
      <c r="AN713" s="216"/>
    </row>
    <row r="714">
      <c r="B714" s="267"/>
      <c r="C714" s="266"/>
      <c r="D714" s="266"/>
      <c r="E714" s="266"/>
      <c r="F714" s="266"/>
      <c r="G714" s="266"/>
      <c r="H714" s="266"/>
      <c r="I714" s="266"/>
      <c r="J714" s="266"/>
      <c r="K714" s="266"/>
      <c r="L714" s="266"/>
      <c r="M714" s="266"/>
      <c r="N714" s="266"/>
      <c r="O714" s="266"/>
      <c r="P714" s="266"/>
      <c r="Q714" s="266"/>
      <c r="R714" s="266"/>
      <c r="S714" s="216"/>
      <c r="T714" s="216"/>
      <c r="U714" s="217"/>
      <c r="V714" s="216"/>
      <c r="W714" s="216"/>
      <c r="X714" s="216"/>
      <c r="Y714" s="216"/>
      <c r="Z714" s="216"/>
      <c r="AA714" s="216"/>
      <c r="AB714" s="216"/>
      <c r="AC714" s="216"/>
      <c r="AD714" s="216"/>
      <c r="AE714" s="216"/>
      <c r="AF714" s="216"/>
      <c r="AG714" s="216"/>
      <c r="AH714" s="216"/>
      <c r="AI714" s="216"/>
      <c r="AJ714" s="216"/>
      <c r="AK714" s="216"/>
      <c r="AL714" s="216"/>
      <c r="AM714" s="216"/>
      <c r="AN714" s="216"/>
    </row>
    <row r="715">
      <c r="B715" s="267"/>
      <c r="C715" s="266"/>
      <c r="D715" s="266"/>
      <c r="E715" s="266"/>
      <c r="F715" s="266"/>
      <c r="G715" s="266"/>
      <c r="H715" s="266"/>
      <c r="I715" s="266"/>
      <c r="J715" s="266"/>
      <c r="K715" s="266"/>
      <c r="L715" s="266"/>
      <c r="M715" s="266"/>
      <c r="N715" s="266"/>
      <c r="O715" s="266"/>
      <c r="P715" s="266"/>
      <c r="Q715" s="266"/>
      <c r="R715" s="266"/>
      <c r="S715" s="216"/>
      <c r="T715" s="216"/>
      <c r="U715" s="217"/>
      <c r="V715" s="216"/>
      <c r="W715" s="216"/>
      <c r="X715" s="216"/>
      <c r="Y715" s="216"/>
      <c r="Z715" s="216"/>
      <c r="AA715" s="216"/>
      <c r="AB715" s="216"/>
      <c r="AC715" s="216"/>
      <c r="AD715" s="216"/>
      <c r="AE715" s="216"/>
      <c r="AF715" s="216"/>
      <c r="AG715" s="216"/>
      <c r="AH715" s="216"/>
      <c r="AI715" s="216"/>
      <c r="AJ715" s="216"/>
      <c r="AK715" s="216"/>
      <c r="AL715" s="216"/>
      <c r="AM715" s="216"/>
      <c r="AN715" s="216"/>
    </row>
    <row r="716">
      <c r="B716" s="267"/>
      <c r="C716" s="266"/>
      <c r="D716" s="266"/>
      <c r="E716" s="266"/>
      <c r="F716" s="266"/>
      <c r="G716" s="266"/>
      <c r="H716" s="266"/>
      <c r="I716" s="266"/>
      <c r="J716" s="266"/>
      <c r="K716" s="266"/>
      <c r="L716" s="266"/>
      <c r="M716" s="266"/>
      <c r="N716" s="266"/>
      <c r="O716" s="266"/>
      <c r="P716" s="266"/>
      <c r="Q716" s="266"/>
      <c r="R716" s="266"/>
      <c r="S716" s="216"/>
      <c r="T716" s="216"/>
      <c r="U716" s="217"/>
      <c r="V716" s="216"/>
      <c r="W716" s="216"/>
      <c r="X716" s="216"/>
      <c r="Y716" s="216"/>
      <c r="Z716" s="216"/>
      <c r="AA716" s="216"/>
      <c r="AB716" s="216"/>
      <c r="AC716" s="216"/>
      <c r="AD716" s="216"/>
      <c r="AE716" s="216"/>
      <c r="AF716" s="216"/>
      <c r="AG716" s="216"/>
      <c r="AH716" s="216"/>
      <c r="AI716" s="216"/>
      <c r="AJ716" s="216"/>
      <c r="AK716" s="216"/>
      <c r="AL716" s="216"/>
      <c r="AM716" s="216"/>
      <c r="AN716" s="216"/>
    </row>
    <row r="717">
      <c r="B717" s="267"/>
      <c r="C717" s="266"/>
      <c r="D717" s="266"/>
      <c r="E717" s="266"/>
      <c r="F717" s="266"/>
      <c r="G717" s="266"/>
      <c r="H717" s="266"/>
      <c r="I717" s="266"/>
      <c r="J717" s="266"/>
      <c r="K717" s="266"/>
      <c r="L717" s="266"/>
      <c r="M717" s="266"/>
      <c r="N717" s="266"/>
      <c r="O717" s="266"/>
      <c r="P717" s="266"/>
      <c r="Q717" s="266"/>
      <c r="R717" s="266"/>
      <c r="S717" s="216"/>
      <c r="T717" s="216"/>
      <c r="U717" s="217"/>
      <c r="V717" s="216"/>
      <c r="W717" s="216"/>
      <c r="X717" s="216"/>
      <c r="Y717" s="216"/>
      <c r="Z717" s="216"/>
      <c r="AA717" s="216"/>
      <c r="AB717" s="216"/>
      <c r="AC717" s="216"/>
      <c r="AD717" s="216"/>
      <c r="AE717" s="216"/>
      <c r="AF717" s="216"/>
      <c r="AG717" s="216"/>
      <c r="AH717" s="216"/>
      <c r="AI717" s="216"/>
      <c r="AJ717" s="216"/>
      <c r="AK717" s="216"/>
      <c r="AL717" s="216"/>
      <c r="AM717" s="216"/>
      <c r="AN717" s="216"/>
    </row>
    <row r="718">
      <c r="B718" s="267"/>
      <c r="C718" s="266"/>
      <c r="D718" s="266"/>
      <c r="E718" s="266"/>
      <c r="F718" s="266"/>
      <c r="G718" s="266"/>
      <c r="H718" s="266"/>
      <c r="I718" s="266"/>
      <c r="J718" s="266"/>
      <c r="K718" s="266"/>
      <c r="L718" s="266"/>
      <c r="M718" s="266"/>
      <c r="N718" s="266"/>
      <c r="O718" s="266"/>
      <c r="P718" s="266"/>
      <c r="Q718" s="266"/>
      <c r="R718" s="266"/>
      <c r="S718" s="216"/>
      <c r="T718" s="216"/>
      <c r="U718" s="217"/>
      <c r="V718" s="216"/>
      <c r="W718" s="216"/>
      <c r="X718" s="216"/>
      <c r="Y718" s="216"/>
      <c r="Z718" s="216"/>
      <c r="AA718" s="216"/>
      <c r="AB718" s="216"/>
      <c r="AC718" s="216"/>
      <c r="AD718" s="216"/>
      <c r="AE718" s="216"/>
      <c r="AF718" s="216"/>
      <c r="AG718" s="216"/>
      <c r="AH718" s="216"/>
      <c r="AI718" s="216"/>
      <c r="AJ718" s="216"/>
      <c r="AK718" s="216"/>
      <c r="AL718" s="216"/>
      <c r="AM718" s="216"/>
      <c r="AN718" s="216"/>
    </row>
    <row r="719">
      <c r="B719" s="267"/>
      <c r="C719" s="266"/>
      <c r="D719" s="266"/>
      <c r="E719" s="266"/>
      <c r="F719" s="266"/>
      <c r="G719" s="266"/>
      <c r="H719" s="266"/>
      <c r="I719" s="266"/>
      <c r="J719" s="266"/>
      <c r="K719" s="266"/>
      <c r="L719" s="266"/>
      <c r="M719" s="266"/>
      <c r="N719" s="266"/>
      <c r="O719" s="266"/>
      <c r="P719" s="266"/>
      <c r="Q719" s="266"/>
      <c r="R719" s="266"/>
      <c r="S719" s="216"/>
      <c r="T719" s="216"/>
      <c r="U719" s="217"/>
      <c r="V719" s="216"/>
      <c r="W719" s="216"/>
      <c r="X719" s="216"/>
      <c r="Y719" s="216"/>
      <c r="Z719" s="216"/>
      <c r="AA719" s="216"/>
      <c r="AB719" s="216"/>
      <c r="AC719" s="216"/>
      <c r="AD719" s="216"/>
      <c r="AE719" s="216"/>
      <c r="AF719" s="216"/>
      <c r="AG719" s="216"/>
      <c r="AH719" s="216"/>
      <c r="AI719" s="216"/>
      <c r="AJ719" s="216"/>
      <c r="AK719" s="216"/>
      <c r="AL719" s="216"/>
      <c r="AM719" s="216"/>
      <c r="AN719" s="216"/>
    </row>
    <row r="720">
      <c r="B720" s="267"/>
      <c r="C720" s="266"/>
      <c r="D720" s="266"/>
      <c r="E720" s="266"/>
      <c r="F720" s="266"/>
      <c r="G720" s="266"/>
      <c r="H720" s="266"/>
      <c r="I720" s="266"/>
      <c r="J720" s="266"/>
      <c r="K720" s="266"/>
      <c r="L720" s="266"/>
      <c r="M720" s="266"/>
      <c r="N720" s="266"/>
      <c r="O720" s="266"/>
      <c r="P720" s="266"/>
      <c r="Q720" s="266"/>
      <c r="R720" s="266"/>
      <c r="S720" s="216"/>
      <c r="T720" s="216"/>
      <c r="U720" s="217"/>
      <c r="V720" s="216"/>
      <c r="W720" s="216"/>
      <c r="X720" s="216"/>
      <c r="Y720" s="216"/>
      <c r="Z720" s="216"/>
      <c r="AA720" s="216"/>
      <c r="AB720" s="216"/>
      <c r="AC720" s="216"/>
      <c r="AD720" s="216"/>
      <c r="AE720" s="216"/>
      <c r="AF720" s="216"/>
      <c r="AG720" s="216"/>
      <c r="AH720" s="216"/>
      <c r="AI720" s="216"/>
      <c r="AJ720" s="216"/>
      <c r="AK720" s="216"/>
      <c r="AL720" s="216"/>
      <c r="AM720" s="216"/>
      <c r="AN720" s="216"/>
    </row>
    <row r="721">
      <c r="B721" s="267"/>
      <c r="C721" s="266"/>
      <c r="D721" s="266"/>
      <c r="E721" s="266"/>
      <c r="F721" s="266"/>
      <c r="G721" s="266"/>
      <c r="H721" s="266"/>
      <c r="I721" s="266"/>
      <c r="J721" s="266"/>
      <c r="K721" s="266"/>
      <c r="L721" s="266"/>
      <c r="M721" s="266"/>
      <c r="N721" s="266"/>
      <c r="O721" s="266"/>
      <c r="P721" s="266"/>
      <c r="Q721" s="266"/>
      <c r="R721" s="266"/>
      <c r="S721" s="216"/>
      <c r="T721" s="216"/>
      <c r="U721" s="217"/>
      <c r="V721" s="216"/>
      <c r="W721" s="216"/>
      <c r="X721" s="216"/>
      <c r="Y721" s="216"/>
      <c r="Z721" s="216"/>
      <c r="AA721" s="216"/>
      <c r="AB721" s="216"/>
      <c r="AC721" s="216"/>
      <c r="AD721" s="216"/>
      <c r="AE721" s="216"/>
      <c r="AF721" s="216"/>
      <c r="AG721" s="216"/>
      <c r="AH721" s="216"/>
      <c r="AI721" s="216"/>
      <c r="AJ721" s="216"/>
      <c r="AK721" s="216"/>
      <c r="AL721" s="216"/>
      <c r="AM721" s="216"/>
      <c r="AN721" s="216"/>
    </row>
    <row r="722">
      <c r="B722" s="267"/>
      <c r="C722" s="266"/>
      <c r="D722" s="266"/>
      <c r="E722" s="266"/>
      <c r="F722" s="266"/>
      <c r="G722" s="266"/>
      <c r="H722" s="266"/>
      <c r="I722" s="266"/>
      <c r="J722" s="266"/>
      <c r="K722" s="266"/>
      <c r="L722" s="266"/>
      <c r="M722" s="266"/>
      <c r="N722" s="266"/>
      <c r="O722" s="266"/>
      <c r="P722" s="266"/>
      <c r="Q722" s="266"/>
      <c r="R722" s="266"/>
      <c r="S722" s="216"/>
      <c r="T722" s="216"/>
      <c r="U722" s="217"/>
      <c r="V722" s="216"/>
      <c r="W722" s="216"/>
      <c r="X722" s="216"/>
      <c r="Y722" s="216"/>
      <c r="Z722" s="216"/>
      <c r="AA722" s="216"/>
      <c r="AB722" s="216"/>
      <c r="AC722" s="216"/>
      <c r="AD722" s="216"/>
      <c r="AE722" s="216"/>
      <c r="AF722" s="216"/>
      <c r="AG722" s="216"/>
      <c r="AH722" s="216"/>
      <c r="AI722" s="216"/>
      <c r="AJ722" s="216"/>
      <c r="AK722" s="216"/>
      <c r="AL722" s="216"/>
      <c r="AM722" s="216"/>
      <c r="AN722" s="216"/>
    </row>
    <row r="723">
      <c r="B723" s="267"/>
      <c r="C723" s="266"/>
      <c r="D723" s="266"/>
      <c r="E723" s="266"/>
      <c r="F723" s="266"/>
      <c r="G723" s="266"/>
      <c r="H723" s="266"/>
      <c r="I723" s="266"/>
      <c r="J723" s="266"/>
      <c r="K723" s="266"/>
      <c r="L723" s="266"/>
      <c r="M723" s="266"/>
      <c r="N723" s="266"/>
      <c r="O723" s="266"/>
      <c r="P723" s="266"/>
      <c r="Q723" s="266"/>
      <c r="R723" s="266"/>
      <c r="S723" s="216"/>
      <c r="T723" s="216"/>
      <c r="U723" s="217"/>
      <c r="V723" s="216"/>
      <c r="W723" s="216"/>
      <c r="X723" s="216"/>
      <c r="Y723" s="216"/>
      <c r="Z723" s="216"/>
      <c r="AA723" s="216"/>
      <c r="AB723" s="216"/>
      <c r="AC723" s="216"/>
      <c r="AD723" s="216"/>
      <c r="AE723" s="216"/>
      <c r="AF723" s="216"/>
      <c r="AG723" s="216"/>
      <c r="AH723" s="216"/>
      <c r="AI723" s="216"/>
      <c r="AJ723" s="216"/>
      <c r="AK723" s="216"/>
      <c r="AL723" s="216"/>
      <c r="AM723" s="216"/>
      <c r="AN723" s="216"/>
    </row>
    <row r="724">
      <c r="B724" s="267"/>
      <c r="C724" s="266"/>
      <c r="D724" s="266"/>
      <c r="E724" s="266"/>
      <c r="F724" s="266"/>
      <c r="G724" s="266"/>
      <c r="H724" s="266"/>
      <c r="I724" s="266"/>
      <c r="J724" s="266"/>
      <c r="K724" s="266"/>
      <c r="L724" s="266"/>
      <c r="M724" s="266"/>
      <c r="N724" s="266"/>
      <c r="O724" s="266"/>
      <c r="P724" s="266"/>
      <c r="Q724" s="266"/>
      <c r="R724" s="266"/>
      <c r="S724" s="216"/>
      <c r="T724" s="216"/>
      <c r="U724" s="217"/>
      <c r="V724" s="216"/>
      <c r="W724" s="216"/>
      <c r="X724" s="216"/>
      <c r="Y724" s="216"/>
      <c r="Z724" s="216"/>
      <c r="AA724" s="216"/>
      <c r="AB724" s="216"/>
      <c r="AC724" s="216"/>
      <c r="AD724" s="216"/>
      <c r="AE724" s="216"/>
      <c r="AF724" s="216"/>
      <c r="AG724" s="216"/>
      <c r="AH724" s="216"/>
      <c r="AI724" s="216"/>
      <c r="AJ724" s="216"/>
      <c r="AK724" s="216"/>
      <c r="AL724" s="216"/>
      <c r="AM724" s="216"/>
      <c r="AN724" s="216"/>
    </row>
    <row r="725">
      <c r="B725" s="267"/>
      <c r="C725" s="266"/>
      <c r="D725" s="266"/>
      <c r="E725" s="266"/>
      <c r="F725" s="266"/>
      <c r="G725" s="266"/>
      <c r="H725" s="266"/>
      <c r="I725" s="266"/>
      <c r="J725" s="266"/>
      <c r="K725" s="266"/>
      <c r="L725" s="266"/>
      <c r="M725" s="266"/>
      <c r="N725" s="266"/>
      <c r="O725" s="266"/>
      <c r="P725" s="266"/>
      <c r="Q725" s="266"/>
      <c r="R725" s="266"/>
      <c r="S725" s="216"/>
      <c r="T725" s="216"/>
      <c r="U725" s="217"/>
      <c r="V725" s="216"/>
      <c r="W725" s="216"/>
      <c r="X725" s="216"/>
      <c r="Y725" s="216"/>
      <c r="Z725" s="216"/>
      <c r="AA725" s="216"/>
      <c r="AB725" s="216"/>
      <c r="AC725" s="216"/>
      <c r="AD725" s="216"/>
      <c r="AE725" s="216"/>
      <c r="AF725" s="216"/>
      <c r="AG725" s="216"/>
      <c r="AH725" s="216"/>
      <c r="AI725" s="216"/>
      <c r="AJ725" s="216"/>
      <c r="AK725" s="216"/>
      <c r="AL725" s="216"/>
      <c r="AM725" s="216"/>
      <c r="AN725" s="216"/>
    </row>
    <row r="726">
      <c r="B726" s="267"/>
      <c r="C726" s="266"/>
      <c r="D726" s="266"/>
      <c r="E726" s="266"/>
      <c r="F726" s="266"/>
      <c r="G726" s="266"/>
      <c r="H726" s="266"/>
      <c r="I726" s="266"/>
      <c r="J726" s="266"/>
      <c r="K726" s="266"/>
      <c r="L726" s="266"/>
      <c r="M726" s="266"/>
      <c r="N726" s="266"/>
      <c r="O726" s="266"/>
      <c r="P726" s="266"/>
      <c r="Q726" s="266"/>
      <c r="R726" s="266"/>
      <c r="S726" s="216"/>
      <c r="T726" s="216"/>
      <c r="U726" s="217"/>
      <c r="V726" s="216"/>
      <c r="W726" s="216"/>
      <c r="X726" s="216"/>
      <c r="Y726" s="216"/>
      <c r="Z726" s="216"/>
      <c r="AA726" s="216"/>
      <c r="AB726" s="216"/>
      <c r="AC726" s="216"/>
      <c r="AD726" s="216"/>
      <c r="AE726" s="216"/>
      <c r="AF726" s="216"/>
      <c r="AG726" s="216"/>
      <c r="AH726" s="216"/>
      <c r="AI726" s="216"/>
      <c r="AJ726" s="216"/>
      <c r="AK726" s="216"/>
      <c r="AL726" s="216"/>
      <c r="AM726" s="216"/>
      <c r="AN726" s="216"/>
    </row>
    <row r="727">
      <c r="B727" s="267"/>
      <c r="C727" s="266"/>
      <c r="D727" s="266"/>
      <c r="E727" s="266"/>
      <c r="F727" s="266"/>
      <c r="G727" s="266"/>
      <c r="H727" s="266"/>
      <c r="I727" s="266"/>
      <c r="J727" s="266"/>
      <c r="K727" s="266"/>
      <c r="L727" s="266"/>
      <c r="M727" s="266"/>
      <c r="N727" s="266"/>
      <c r="O727" s="266"/>
      <c r="P727" s="266"/>
      <c r="Q727" s="266"/>
      <c r="R727" s="266"/>
      <c r="S727" s="216"/>
      <c r="T727" s="216"/>
      <c r="U727" s="217"/>
      <c r="V727" s="216"/>
      <c r="W727" s="216"/>
      <c r="X727" s="216"/>
      <c r="Y727" s="216"/>
      <c r="Z727" s="216"/>
      <c r="AA727" s="216"/>
      <c r="AB727" s="216"/>
      <c r="AC727" s="216"/>
      <c r="AD727" s="216"/>
      <c r="AE727" s="216"/>
      <c r="AF727" s="216"/>
      <c r="AG727" s="216"/>
      <c r="AH727" s="216"/>
      <c r="AI727" s="216"/>
      <c r="AJ727" s="216"/>
      <c r="AK727" s="216"/>
      <c r="AL727" s="216"/>
      <c r="AM727" s="216"/>
      <c r="AN727" s="216"/>
    </row>
    <row r="728">
      <c r="B728" s="267"/>
      <c r="C728" s="266"/>
      <c r="D728" s="266"/>
      <c r="E728" s="266"/>
      <c r="F728" s="266"/>
      <c r="G728" s="266"/>
      <c r="H728" s="266"/>
      <c r="I728" s="266"/>
      <c r="J728" s="266"/>
      <c r="K728" s="266"/>
      <c r="L728" s="266"/>
      <c r="M728" s="266"/>
      <c r="N728" s="266"/>
      <c r="O728" s="266"/>
      <c r="P728" s="266"/>
      <c r="Q728" s="266"/>
      <c r="R728" s="266"/>
      <c r="S728" s="216"/>
      <c r="T728" s="216"/>
      <c r="U728" s="217"/>
      <c r="V728" s="216"/>
      <c r="W728" s="216"/>
      <c r="X728" s="216"/>
      <c r="Y728" s="216"/>
      <c r="Z728" s="216"/>
      <c r="AA728" s="216"/>
      <c r="AB728" s="216"/>
      <c r="AC728" s="216"/>
      <c r="AD728" s="216"/>
      <c r="AE728" s="216"/>
      <c r="AF728" s="216"/>
      <c r="AG728" s="216"/>
      <c r="AH728" s="216"/>
      <c r="AI728" s="216"/>
      <c r="AJ728" s="216"/>
      <c r="AK728" s="216"/>
      <c r="AL728" s="216"/>
      <c r="AM728" s="216"/>
      <c r="AN728" s="216"/>
    </row>
    <row r="729">
      <c r="B729" s="267"/>
      <c r="C729" s="266"/>
      <c r="D729" s="266"/>
      <c r="E729" s="266"/>
      <c r="F729" s="266"/>
      <c r="G729" s="266"/>
      <c r="H729" s="266"/>
      <c r="I729" s="266"/>
      <c r="J729" s="266"/>
      <c r="K729" s="266"/>
      <c r="L729" s="266"/>
      <c r="M729" s="266"/>
      <c r="N729" s="266"/>
      <c r="O729" s="266"/>
      <c r="P729" s="266"/>
      <c r="Q729" s="266"/>
      <c r="R729" s="266"/>
      <c r="S729" s="216"/>
      <c r="T729" s="216"/>
      <c r="U729" s="217"/>
      <c r="V729" s="216"/>
      <c r="W729" s="216"/>
      <c r="X729" s="216"/>
      <c r="Y729" s="216"/>
      <c r="Z729" s="216"/>
      <c r="AA729" s="216"/>
      <c r="AB729" s="216"/>
      <c r="AC729" s="216"/>
      <c r="AD729" s="216"/>
      <c r="AE729" s="216"/>
      <c r="AF729" s="216"/>
      <c r="AG729" s="216"/>
      <c r="AH729" s="216"/>
      <c r="AI729" s="216"/>
      <c r="AJ729" s="216"/>
      <c r="AK729" s="216"/>
      <c r="AL729" s="216"/>
      <c r="AM729" s="216"/>
      <c r="AN729" s="216"/>
    </row>
    <row r="730">
      <c r="B730" s="267"/>
      <c r="C730" s="266"/>
      <c r="D730" s="266"/>
      <c r="E730" s="266"/>
      <c r="F730" s="266"/>
      <c r="G730" s="266"/>
      <c r="H730" s="266"/>
      <c r="I730" s="266"/>
      <c r="J730" s="266"/>
      <c r="K730" s="266"/>
      <c r="L730" s="266"/>
      <c r="M730" s="266"/>
      <c r="N730" s="266"/>
      <c r="O730" s="266"/>
      <c r="P730" s="266"/>
      <c r="Q730" s="266"/>
      <c r="R730" s="266"/>
      <c r="S730" s="216"/>
      <c r="T730" s="216"/>
      <c r="U730" s="217"/>
      <c r="V730" s="216"/>
      <c r="W730" s="216"/>
      <c r="X730" s="216"/>
      <c r="Y730" s="216"/>
      <c r="Z730" s="216"/>
      <c r="AA730" s="216"/>
      <c r="AB730" s="216"/>
      <c r="AC730" s="216"/>
      <c r="AD730" s="216"/>
      <c r="AE730" s="216"/>
      <c r="AF730" s="216"/>
      <c r="AG730" s="216"/>
      <c r="AH730" s="216"/>
      <c r="AI730" s="216"/>
      <c r="AJ730" s="216"/>
      <c r="AK730" s="216"/>
      <c r="AL730" s="216"/>
      <c r="AM730" s="216"/>
      <c r="AN730" s="216"/>
    </row>
    <row r="731">
      <c r="B731" s="267"/>
      <c r="C731" s="266"/>
      <c r="D731" s="266"/>
      <c r="E731" s="266"/>
      <c r="F731" s="266"/>
      <c r="G731" s="266"/>
      <c r="H731" s="266"/>
      <c r="I731" s="266"/>
      <c r="J731" s="266"/>
      <c r="K731" s="266"/>
      <c r="L731" s="266"/>
      <c r="M731" s="266"/>
      <c r="N731" s="266"/>
      <c r="O731" s="266"/>
      <c r="P731" s="266"/>
      <c r="Q731" s="266"/>
      <c r="R731" s="266"/>
      <c r="S731" s="216"/>
      <c r="T731" s="216"/>
      <c r="U731" s="217"/>
      <c r="V731" s="216"/>
      <c r="W731" s="216"/>
      <c r="X731" s="216"/>
      <c r="Y731" s="216"/>
      <c r="Z731" s="216"/>
      <c r="AA731" s="216"/>
      <c r="AB731" s="216"/>
      <c r="AC731" s="216"/>
      <c r="AD731" s="216"/>
      <c r="AE731" s="216"/>
      <c r="AF731" s="216"/>
      <c r="AG731" s="216"/>
      <c r="AH731" s="216"/>
      <c r="AI731" s="216"/>
      <c r="AJ731" s="216"/>
      <c r="AK731" s="216"/>
      <c r="AL731" s="216"/>
      <c r="AM731" s="216"/>
      <c r="AN731" s="216"/>
    </row>
    <row r="732">
      <c r="B732" s="267"/>
      <c r="C732" s="266"/>
      <c r="D732" s="266"/>
      <c r="E732" s="266"/>
      <c r="F732" s="266"/>
      <c r="G732" s="266"/>
      <c r="H732" s="266"/>
      <c r="I732" s="266"/>
      <c r="J732" s="266"/>
      <c r="K732" s="266"/>
      <c r="L732" s="266"/>
      <c r="M732" s="266"/>
      <c r="N732" s="266"/>
      <c r="O732" s="266"/>
      <c r="P732" s="266"/>
      <c r="Q732" s="266"/>
      <c r="R732" s="266"/>
      <c r="S732" s="216"/>
      <c r="T732" s="216"/>
      <c r="U732" s="217"/>
      <c r="V732" s="216"/>
      <c r="W732" s="216"/>
      <c r="X732" s="216"/>
      <c r="Y732" s="216"/>
      <c r="Z732" s="216"/>
      <c r="AA732" s="216"/>
      <c r="AB732" s="216"/>
      <c r="AC732" s="216"/>
      <c r="AD732" s="216"/>
      <c r="AE732" s="216"/>
      <c r="AF732" s="216"/>
      <c r="AG732" s="216"/>
      <c r="AH732" s="216"/>
      <c r="AI732" s="216"/>
      <c r="AJ732" s="216"/>
      <c r="AK732" s="216"/>
      <c r="AL732" s="216"/>
      <c r="AM732" s="216"/>
      <c r="AN732" s="216"/>
    </row>
    <row r="733">
      <c r="B733" s="267"/>
      <c r="C733" s="266"/>
      <c r="D733" s="266"/>
      <c r="E733" s="266"/>
      <c r="F733" s="266"/>
      <c r="G733" s="266"/>
      <c r="H733" s="266"/>
      <c r="I733" s="266"/>
      <c r="J733" s="266"/>
      <c r="K733" s="266"/>
      <c r="L733" s="266"/>
      <c r="M733" s="266"/>
      <c r="N733" s="266"/>
      <c r="O733" s="266"/>
      <c r="P733" s="266"/>
      <c r="Q733" s="266"/>
      <c r="R733" s="266"/>
      <c r="S733" s="216"/>
      <c r="T733" s="216"/>
      <c r="U733" s="217"/>
      <c r="V733" s="216"/>
      <c r="W733" s="216"/>
      <c r="X733" s="216"/>
      <c r="Y733" s="216"/>
      <c r="Z733" s="216"/>
      <c r="AA733" s="216"/>
      <c r="AB733" s="216"/>
      <c r="AC733" s="216"/>
      <c r="AD733" s="216"/>
      <c r="AE733" s="216"/>
      <c r="AF733" s="216"/>
      <c r="AG733" s="216"/>
      <c r="AH733" s="216"/>
      <c r="AI733" s="216"/>
      <c r="AJ733" s="216"/>
      <c r="AK733" s="216"/>
      <c r="AL733" s="216"/>
      <c r="AM733" s="216"/>
      <c r="AN733" s="216"/>
    </row>
    <row r="734">
      <c r="B734" s="267"/>
      <c r="C734" s="266"/>
      <c r="D734" s="266"/>
      <c r="E734" s="266"/>
      <c r="F734" s="266"/>
      <c r="G734" s="266"/>
      <c r="H734" s="266"/>
      <c r="I734" s="266"/>
      <c r="J734" s="266"/>
      <c r="K734" s="266"/>
      <c r="L734" s="266"/>
      <c r="M734" s="266"/>
      <c r="N734" s="266"/>
      <c r="O734" s="266"/>
      <c r="P734" s="266"/>
      <c r="Q734" s="266"/>
      <c r="R734" s="266"/>
      <c r="S734" s="216"/>
      <c r="T734" s="216"/>
      <c r="U734" s="217"/>
      <c r="V734" s="216"/>
      <c r="W734" s="216"/>
      <c r="X734" s="216"/>
      <c r="Y734" s="216"/>
      <c r="Z734" s="216"/>
      <c r="AA734" s="216"/>
      <c r="AB734" s="216"/>
      <c r="AC734" s="216"/>
      <c r="AD734" s="216"/>
      <c r="AE734" s="216"/>
      <c r="AF734" s="216"/>
      <c r="AG734" s="216"/>
      <c r="AH734" s="216"/>
      <c r="AI734" s="216"/>
      <c r="AJ734" s="216"/>
      <c r="AK734" s="216"/>
      <c r="AL734" s="216"/>
      <c r="AM734" s="216"/>
      <c r="AN734" s="216"/>
    </row>
    <row r="735">
      <c r="B735" s="267"/>
      <c r="C735" s="266"/>
      <c r="D735" s="266"/>
      <c r="E735" s="266"/>
      <c r="F735" s="266"/>
      <c r="G735" s="266"/>
      <c r="H735" s="266"/>
      <c r="I735" s="266"/>
      <c r="J735" s="266"/>
      <c r="K735" s="266"/>
      <c r="L735" s="266"/>
      <c r="M735" s="266"/>
      <c r="N735" s="266"/>
      <c r="O735" s="266"/>
      <c r="P735" s="266"/>
      <c r="Q735" s="266"/>
      <c r="R735" s="266"/>
      <c r="S735" s="216"/>
      <c r="T735" s="216"/>
      <c r="U735" s="217"/>
      <c r="V735" s="216"/>
      <c r="W735" s="216"/>
      <c r="X735" s="216"/>
      <c r="Y735" s="216"/>
      <c r="Z735" s="216"/>
      <c r="AA735" s="216"/>
      <c r="AB735" s="216"/>
      <c r="AC735" s="216"/>
      <c r="AD735" s="216"/>
      <c r="AE735" s="216"/>
      <c r="AF735" s="216"/>
      <c r="AG735" s="216"/>
      <c r="AH735" s="216"/>
      <c r="AI735" s="216"/>
      <c r="AJ735" s="216"/>
      <c r="AK735" s="216"/>
      <c r="AL735" s="216"/>
      <c r="AM735" s="216"/>
      <c r="AN735" s="216"/>
    </row>
    <row r="736">
      <c r="B736" s="267"/>
      <c r="C736" s="266"/>
      <c r="D736" s="266"/>
      <c r="E736" s="266"/>
      <c r="F736" s="266"/>
      <c r="G736" s="266"/>
      <c r="H736" s="266"/>
      <c r="I736" s="266"/>
      <c r="J736" s="266"/>
      <c r="K736" s="266"/>
      <c r="L736" s="266"/>
      <c r="M736" s="266"/>
      <c r="N736" s="266"/>
      <c r="O736" s="266"/>
      <c r="P736" s="266"/>
      <c r="Q736" s="266"/>
      <c r="R736" s="266"/>
      <c r="S736" s="216"/>
      <c r="T736" s="216"/>
      <c r="U736" s="217"/>
      <c r="V736" s="216"/>
      <c r="W736" s="216"/>
      <c r="X736" s="216"/>
      <c r="Y736" s="216"/>
      <c r="Z736" s="216"/>
      <c r="AA736" s="216"/>
      <c r="AB736" s="216"/>
      <c r="AC736" s="216"/>
      <c r="AD736" s="216"/>
      <c r="AE736" s="216"/>
      <c r="AF736" s="216"/>
      <c r="AG736" s="216"/>
      <c r="AH736" s="216"/>
      <c r="AI736" s="216"/>
      <c r="AJ736" s="216"/>
      <c r="AK736" s="216"/>
      <c r="AL736" s="216"/>
      <c r="AM736" s="216"/>
      <c r="AN736" s="216"/>
    </row>
    <row r="737">
      <c r="B737" s="267"/>
      <c r="C737" s="266"/>
      <c r="D737" s="266"/>
      <c r="E737" s="266"/>
      <c r="F737" s="266"/>
      <c r="G737" s="266"/>
      <c r="H737" s="266"/>
      <c r="I737" s="266"/>
      <c r="J737" s="266"/>
      <c r="K737" s="266"/>
      <c r="L737" s="266"/>
      <c r="M737" s="266"/>
      <c r="N737" s="266"/>
      <c r="O737" s="266"/>
      <c r="P737" s="266"/>
      <c r="Q737" s="266"/>
      <c r="R737" s="266"/>
      <c r="S737" s="216"/>
      <c r="T737" s="216"/>
      <c r="U737" s="217"/>
      <c r="V737" s="216"/>
      <c r="W737" s="216"/>
      <c r="X737" s="216"/>
      <c r="Y737" s="216"/>
      <c r="Z737" s="216"/>
      <c r="AA737" s="216"/>
      <c r="AB737" s="216"/>
      <c r="AC737" s="216"/>
      <c r="AD737" s="216"/>
      <c r="AE737" s="216"/>
      <c r="AF737" s="216"/>
      <c r="AG737" s="216"/>
      <c r="AH737" s="216"/>
      <c r="AI737" s="216"/>
      <c r="AJ737" s="216"/>
      <c r="AK737" s="216"/>
      <c r="AL737" s="216"/>
      <c r="AM737" s="216"/>
      <c r="AN737" s="216"/>
    </row>
    <row r="738">
      <c r="B738" s="267"/>
      <c r="C738" s="266"/>
      <c r="D738" s="266"/>
      <c r="E738" s="266"/>
      <c r="F738" s="266"/>
      <c r="G738" s="266"/>
      <c r="H738" s="266"/>
      <c r="I738" s="266"/>
      <c r="J738" s="266"/>
      <c r="K738" s="266"/>
      <c r="L738" s="266"/>
      <c r="M738" s="266"/>
      <c r="N738" s="266"/>
      <c r="O738" s="266"/>
      <c r="P738" s="266"/>
      <c r="Q738" s="266"/>
      <c r="R738" s="266"/>
      <c r="S738" s="216"/>
      <c r="T738" s="216"/>
      <c r="U738" s="217"/>
      <c r="V738" s="216"/>
      <c r="W738" s="216"/>
      <c r="X738" s="216"/>
      <c r="Y738" s="216"/>
      <c r="Z738" s="216"/>
      <c r="AA738" s="216"/>
      <c r="AB738" s="216"/>
      <c r="AC738" s="216"/>
      <c r="AD738" s="216"/>
      <c r="AE738" s="216"/>
      <c r="AF738" s="216"/>
      <c r="AG738" s="216"/>
      <c r="AH738" s="216"/>
      <c r="AI738" s="216"/>
      <c r="AJ738" s="216"/>
      <c r="AK738" s="216"/>
      <c r="AL738" s="216"/>
      <c r="AM738" s="216"/>
      <c r="AN738" s="216"/>
    </row>
    <row r="739">
      <c r="B739" s="267"/>
      <c r="C739" s="266"/>
      <c r="D739" s="266"/>
      <c r="E739" s="266"/>
      <c r="F739" s="266"/>
      <c r="G739" s="266"/>
      <c r="H739" s="266"/>
      <c r="I739" s="266"/>
      <c r="J739" s="266"/>
      <c r="K739" s="266"/>
      <c r="L739" s="266"/>
      <c r="M739" s="266"/>
      <c r="N739" s="266"/>
      <c r="O739" s="266"/>
      <c r="P739" s="266"/>
      <c r="Q739" s="266"/>
      <c r="R739" s="266"/>
      <c r="S739" s="216"/>
      <c r="T739" s="216"/>
      <c r="U739" s="217"/>
      <c r="V739" s="216"/>
      <c r="W739" s="216"/>
      <c r="X739" s="216"/>
      <c r="Y739" s="216"/>
      <c r="Z739" s="216"/>
      <c r="AA739" s="216"/>
      <c r="AB739" s="216"/>
      <c r="AC739" s="216"/>
      <c r="AD739" s="216"/>
      <c r="AE739" s="216"/>
      <c r="AF739" s="216"/>
      <c r="AG739" s="216"/>
      <c r="AH739" s="216"/>
      <c r="AI739" s="216"/>
      <c r="AJ739" s="216"/>
      <c r="AK739" s="216"/>
      <c r="AL739" s="216"/>
      <c r="AM739" s="216"/>
      <c r="AN739" s="216"/>
    </row>
    <row r="740">
      <c r="B740" s="267"/>
      <c r="C740" s="266"/>
      <c r="D740" s="266"/>
      <c r="E740" s="266"/>
      <c r="F740" s="266"/>
      <c r="G740" s="266"/>
      <c r="H740" s="266"/>
      <c r="I740" s="266"/>
      <c r="J740" s="266"/>
      <c r="K740" s="266"/>
      <c r="L740" s="266"/>
      <c r="M740" s="266"/>
      <c r="N740" s="266"/>
      <c r="O740" s="266"/>
      <c r="P740" s="266"/>
      <c r="Q740" s="266"/>
      <c r="R740" s="266"/>
      <c r="S740" s="216"/>
      <c r="T740" s="216"/>
      <c r="U740" s="217"/>
      <c r="V740" s="216"/>
      <c r="W740" s="216"/>
      <c r="X740" s="216"/>
      <c r="Y740" s="216"/>
      <c r="Z740" s="216"/>
      <c r="AA740" s="216"/>
      <c r="AB740" s="216"/>
      <c r="AC740" s="216"/>
      <c r="AD740" s="216"/>
      <c r="AE740" s="216"/>
      <c r="AF740" s="216"/>
      <c r="AG740" s="216"/>
      <c r="AH740" s="216"/>
      <c r="AI740" s="216"/>
      <c r="AJ740" s="216"/>
      <c r="AK740" s="216"/>
      <c r="AL740" s="216"/>
      <c r="AM740" s="216"/>
      <c r="AN740" s="216"/>
    </row>
    <row r="741">
      <c r="B741" s="267"/>
      <c r="C741" s="266"/>
      <c r="D741" s="266"/>
      <c r="E741" s="266"/>
      <c r="F741" s="266"/>
      <c r="G741" s="266"/>
      <c r="H741" s="266"/>
      <c r="I741" s="266"/>
      <c r="J741" s="266"/>
      <c r="K741" s="266"/>
      <c r="L741" s="266"/>
      <c r="M741" s="266"/>
      <c r="N741" s="266"/>
      <c r="O741" s="266"/>
      <c r="P741" s="266"/>
      <c r="Q741" s="266"/>
      <c r="R741" s="266"/>
      <c r="S741" s="216"/>
      <c r="T741" s="216"/>
      <c r="U741" s="217"/>
      <c r="V741" s="216"/>
      <c r="W741" s="216"/>
      <c r="X741" s="216"/>
      <c r="Y741" s="216"/>
      <c r="Z741" s="216"/>
      <c r="AA741" s="216"/>
      <c r="AB741" s="216"/>
      <c r="AC741" s="216"/>
      <c r="AD741" s="216"/>
      <c r="AE741" s="216"/>
      <c r="AF741" s="216"/>
      <c r="AG741" s="216"/>
      <c r="AH741" s="216"/>
      <c r="AI741" s="216"/>
      <c r="AJ741" s="216"/>
      <c r="AK741" s="216"/>
      <c r="AL741" s="216"/>
      <c r="AM741" s="216"/>
      <c r="AN741" s="216"/>
    </row>
    <row r="742">
      <c r="B742" s="267"/>
      <c r="C742" s="266"/>
      <c r="D742" s="266"/>
      <c r="E742" s="266"/>
      <c r="F742" s="266"/>
      <c r="G742" s="266"/>
      <c r="H742" s="266"/>
      <c r="I742" s="266"/>
      <c r="J742" s="266"/>
      <c r="K742" s="266"/>
      <c r="L742" s="266"/>
      <c r="M742" s="266"/>
      <c r="N742" s="266"/>
      <c r="O742" s="266"/>
      <c r="P742" s="266"/>
      <c r="Q742" s="266"/>
      <c r="R742" s="266"/>
      <c r="S742" s="216"/>
      <c r="T742" s="216"/>
      <c r="U742" s="217"/>
      <c r="V742" s="216"/>
      <c r="W742" s="216"/>
      <c r="X742" s="216"/>
      <c r="Y742" s="216"/>
      <c r="Z742" s="216"/>
      <c r="AA742" s="216"/>
      <c r="AB742" s="216"/>
      <c r="AC742" s="216"/>
      <c r="AD742" s="216"/>
      <c r="AE742" s="216"/>
      <c r="AF742" s="216"/>
      <c r="AG742" s="216"/>
      <c r="AH742" s="216"/>
      <c r="AI742" s="216"/>
      <c r="AJ742" s="216"/>
      <c r="AK742" s="216"/>
      <c r="AL742" s="216"/>
      <c r="AM742" s="216"/>
      <c r="AN742" s="216"/>
    </row>
    <row r="743">
      <c r="B743" s="267"/>
      <c r="C743" s="266"/>
      <c r="D743" s="266"/>
      <c r="E743" s="266"/>
      <c r="F743" s="266"/>
      <c r="G743" s="266"/>
      <c r="H743" s="266"/>
      <c r="I743" s="266"/>
      <c r="J743" s="266"/>
      <c r="K743" s="266"/>
      <c r="L743" s="266"/>
      <c r="M743" s="266"/>
      <c r="N743" s="266"/>
      <c r="O743" s="266"/>
      <c r="P743" s="266"/>
      <c r="Q743" s="266"/>
      <c r="R743" s="266"/>
      <c r="S743" s="216"/>
      <c r="T743" s="216"/>
      <c r="U743" s="217"/>
      <c r="V743" s="216"/>
      <c r="W743" s="216"/>
      <c r="X743" s="216"/>
      <c r="Y743" s="216"/>
      <c r="Z743" s="216"/>
      <c r="AA743" s="216"/>
      <c r="AB743" s="216"/>
      <c r="AC743" s="216"/>
      <c r="AD743" s="216"/>
      <c r="AE743" s="216"/>
      <c r="AF743" s="216"/>
      <c r="AG743" s="216"/>
      <c r="AH743" s="216"/>
      <c r="AI743" s="216"/>
      <c r="AJ743" s="216"/>
      <c r="AK743" s="216"/>
      <c r="AL743" s="216"/>
      <c r="AM743" s="216"/>
      <c r="AN743" s="216"/>
    </row>
    <row r="744">
      <c r="B744" s="267"/>
      <c r="C744" s="266"/>
      <c r="D744" s="266"/>
      <c r="E744" s="266"/>
      <c r="F744" s="266"/>
      <c r="G744" s="266"/>
      <c r="H744" s="266"/>
      <c r="I744" s="266"/>
      <c r="J744" s="266"/>
      <c r="K744" s="266"/>
      <c r="L744" s="266"/>
      <c r="M744" s="266"/>
      <c r="N744" s="266"/>
      <c r="O744" s="266"/>
      <c r="P744" s="266"/>
      <c r="Q744" s="266"/>
      <c r="R744" s="266"/>
      <c r="S744" s="216"/>
      <c r="T744" s="216"/>
      <c r="U744" s="217"/>
      <c r="V744" s="216"/>
      <c r="W744" s="216"/>
      <c r="X744" s="216"/>
      <c r="Y744" s="216"/>
      <c r="Z744" s="216"/>
      <c r="AA744" s="216"/>
      <c r="AB744" s="216"/>
      <c r="AC744" s="216"/>
      <c r="AD744" s="216"/>
      <c r="AE744" s="216"/>
      <c r="AF744" s="216"/>
      <c r="AG744" s="216"/>
      <c r="AH744" s="216"/>
      <c r="AI744" s="216"/>
      <c r="AJ744" s="216"/>
      <c r="AK744" s="216"/>
      <c r="AL744" s="216"/>
      <c r="AM744" s="216"/>
      <c r="AN744" s="216"/>
    </row>
    <row r="745">
      <c r="B745" s="267"/>
      <c r="C745" s="266"/>
      <c r="D745" s="266"/>
      <c r="E745" s="266"/>
      <c r="F745" s="266"/>
      <c r="G745" s="266"/>
      <c r="H745" s="266"/>
      <c r="I745" s="266"/>
      <c r="J745" s="266"/>
      <c r="K745" s="266"/>
      <c r="L745" s="266"/>
      <c r="M745" s="266"/>
      <c r="N745" s="266"/>
      <c r="O745" s="266"/>
      <c r="P745" s="266"/>
      <c r="Q745" s="266"/>
      <c r="R745" s="266"/>
      <c r="S745" s="216"/>
      <c r="T745" s="216"/>
      <c r="U745" s="217"/>
      <c r="V745" s="216"/>
      <c r="W745" s="216"/>
      <c r="X745" s="216"/>
      <c r="Y745" s="216"/>
      <c r="Z745" s="216"/>
      <c r="AA745" s="216"/>
      <c r="AB745" s="216"/>
      <c r="AC745" s="216"/>
      <c r="AD745" s="216"/>
      <c r="AE745" s="216"/>
      <c r="AF745" s="216"/>
      <c r="AG745" s="216"/>
      <c r="AH745" s="216"/>
      <c r="AI745" s="216"/>
      <c r="AJ745" s="216"/>
      <c r="AK745" s="216"/>
      <c r="AL745" s="216"/>
      <c r="AM745" s="216"/>
      <c r="AN745" s="216"/>
    </row>
    <row r="746">
      <c r="B746" s="267"/>
      <c r="C746" s="266"/>
      <c r="D746" s="266"/>
      <c r="E746" s="266"/>
      <c r="F746" s="266"/>
      <c r="G746" s="266"/>
      <c r="H746" s="266"/>
      <c r="I746" s="266"/>
      <c r="J746" s="266"/>
      <c r="K746" s="266"/>
      <c r="L746" s="266"/>
      <c r="M746" s="266"/>
      <c r="N746" s="266"/>
      <c r="O746" s="266"/>
      <c r="P746" s="266"/>
      <c r="Q746" s="266"/>
      <c r="R746" s="266"/>
      <c r="S746" s="216"/>
      <c r="T746" s="216"/>
      <c r="U746" s="217"/>
      <c r="V746" s="216"/>
      <c r="W746" s="216"/>
      <c r="X746" s="216"/>
      <c r="Y746" s="216"/>
      <c r="Z746" s="216"/>
      <c r="AA746" s="216"/>
      <c r="AB746" s="216"/>
      <c r="AC746" s="216"/>
      <c r="AD746" s="216"/>
      <c r="AE746" s="216"/>
      <c r="AF746" s="216"/>
      <c r="AG746" s="216"/>
      <c r="AH746" s="216"/>
      <c r="AI746" s="216"/>
      <c r="AJ746" s="216"/>
      <c r="AK746" s="216"/>
      <c r="AL746" s="216"/>
      <c r="AM746" s="216"/>
      <c r="AN746" s="216"/>
    </row>
    <row r="747">
      <c r="B747" s="267"/>
      <c r="C747" s="266"/>
      <c r="D747" s="266"/>
      <c r="E747" s="266"/>
      <c r="F747" s="266"/>
      <c r="G747" s="266"/>
      <c r="H747" s="266"/>
      <c r="I747" s="266"/>
      <c r="J747" s="266"/>
      <c r="K747" s="266"/>
      <c r="L747" s="266"/>
      <c r="M747" s="266"/>
      <c r="N747" s="266"/>
      <c r="O747" s="266"/>
      <c r="P747" s="266"/>
      <c r="Q747" s="266"/>
      <c r="R747" s="266"/>
      <c r="S747" s="216"/>
      <c r="T747" s="216"/>
      <c r="U747" s="217"/>
      <c r="V747" s="216"/>
      <c r="W747" s="216"/>
      <c r="X747" s="216"/>
      <c r="Y747" s="216"/>
      <c r="Z747" s="216"/>
      <c r="AA747" s="216"/>
      <c r="AB747" s="216"/>
      <c r="AC747" s="216"/>
      <c r="AD747" s="216"/>
      <c r="AE747" s="216"/>
      <c r="AF747" s="216"/>
      <c r="AG747" s="216"/>
      <c r="AH747" s="216"/>
      <c r="AI747" s="216"/>
      <c r="AJ747" s="216"/>
      <c r="AK747" s="216"/>
      <c r="AL747" s="216"/>
      <c r="AM747" s="216"/>
      <c r="AN747" s="216"/>
    </row>
    <row r="748">
      <c r="B748" s="267"/>
      <c r="C748" s="266"/>
      <c r="D748" s="266"/>
      <c r="E748" s="266"/>
      <c r="F748" s="266"/>
      <c r="G748" s="266"/>
      <c r="H748" s="266"/>
      <c r="I748" s="266"/>
      <c r="J748" s="266"/>
      <c r="K748" s="266"/>
      <c r="L748" s="266"/>
      <c r="M748" s="266"/>
      <c r="N748" s="266"/>
      <c r="O748" s="266"/>
      <c r="P748" s="266"/>
      <c r="Q748" s="266"/>
      <c r="R748" s="266"/>
      <c r="S748" s="216"/>
      <c r="T748" s="216"/>
      <c r="U748" s="217"/>
      <c r="V748" s="216"/>
      <c r="W748" s="216"/>
      <c r="X748" s="216"/>
      <c r="Y748" s="216"/>
      <c r="Z748" s="216"/>
      <c r="AA748" s="216"/>
      <c r="AB748" s="216"/>
      <c r="AC748" s="216"/>
      <c r="AD748" s="216"/>
      <c r="AE748" s="216"/>
      <c r="AF748" s="216"/>
      <c r="AG748" s="216"/>
      <c r="AH748" s="216"/>
      <c r="AI748" s="216"/>
      <c r="AJ748" s="216"/>
      <c r="AK748" s="216"/>
      <c r="AL748" s="216"/>
      <c r="AM748" s="216"/>
      <c r="AN748" s="216"/>
    </row>
    <row r="749">
      <c r="B749" s="267"/>
      <c r="C749" s="266"/>
      <c r="D749" s="266"/>
      <c r="E749" s="266"/>
      <c r="F749" s="266"/>
      <c r="G749" s="266"/>
      <c r="H749" s="266"/>
      <c r="I749" s="266"/>
      <c r="J749" s="266"/>
      <c r="K749" s="266"/>
      <c r="L749" s="266"/>
      <c r="M749" s="266"/>
      <c r="N749" s="266"/>
      <c r="O749" s="266"/>
      <c r="P749" s="266"/>
      <c r="Q749" s="266"/>
      <c r="R749" s="266"/>
      <c r="S749" s="216"/>
      <c r="T749" s="216"/>
      <c r="U749" s="217"/>
      <c r="V749" s="216"/>
      <c r="W749" s="216"/>
      <c r="X749" s="216"/>
      <c r="Y749" s="216"/>
      <c r="Z749" s="216"/>
      <c r="AA749" s="216"/>
      <c r="AB749" s="216"/>
      <c r="AC749" s="216"/>
      <c r="AD749" s="216"/>
      <c r="AE749" s="216"/>
      <c r="AF749" s="216"/>
      <c r="AG749" s="216"/>
      <c r="AH749" s="216"/>
      <c r="AI749" s="216"/>
      <c r="AJ749" s="216"/>
      <c r="AK749" s="216"/>
      <c r="AL749" s="216"/>
      <c r="AM749" s="216"/>
      <c r="AN749" s="216"/>
    </row>
    <row r="750">
      <c r="B750" s="267"/>
      <c r="C750" s="266"/>
      <c r="D750" s="266"/>
      <c r="E750" s="266"/>
      <c r="F750" s="266"/>
      <c r="G750" s="266"/>
      <c r="H750" s="266"/>
      <c r="I750" s="266"/>
      <c r="J750" s="266"/>
      <c r="K750" s="266"/>
      <c r="L750" s="266"/>
      <c r="M750" s="266"/>
      <c r="N750" s="266"/>
      <c r="O750" s="266"/>
      <c r="P750" s="266"/>
      <c r="Q750" s="266"/>
      <c r="R750" s="266"/>
      <c r="S750" s="216"/>
      <c r="T750" s="216"/>
      <c r="U750" s="217"/>
      <c r="V750" s="216"/>
      <c r="W750" s="216"/>
      <c r="X750" s="216"/>
      <c r="Y750" s="216"/>
      <c r="Z750" s="216"/>
      <c r="AA750" s="216"/>
      <c r="AB750" s="216"/>
      <c r="AC750" s="216"/>
      <c r="AD750" s="216"/>
      <c r="AE750" s="216"/>
      <c r="AF750" s="216"/>
      <c r="AG750" s="216"/>
      <c r="AH750" s="216"/>
      <c r="AI750" s="216"/>
      <c r="AJ750" s="216"/>
      <c r="AK750" s="216"/>
      <c r="AL750" s="216"/>
      <c r="AM750" s="216"/>
      <c r="AN750" s="216"/>
    </row>
    <row r="751">
      <c r="B751" s="267"/>
      <c r="C751" s="266"/>
      <c r="D751" s="266"/>
      <c r="E751" s="266"/>
      <c r="F751" s="266"/>
      <c r="G751" s="266"/>
      <c r="H751" s="266"/>
      <c r="I751" s="266"/>
      <c r="J751" s="266"/>
      <c r="K751" s="266"/>
      <c r="L751" s="266"/>
      <c r="M751" s="266"/>
      <c r="N751" s="266"/>
      <c r="O751" s="266"/>
      <c r="P751" s="266"/>
      <c r="Q751" s="266"/>
      <c r="R751" s="266"/>
      <c r="S751" s="216"/>
      <c r="T751" s="216"/>
      <c r="U751" s="217"/>
      <c r="V751" s="216"/>
      <c r="W751" s="216"/>
      <c r="X751" s="216"/>
      <c r="Y751" s="216"/>
      <c r="Z751" s="216"/>
      <c r="AA751" s="216"/>
      <c r="AB751" s="216"/>
      <c r="AC751" s="216"/>
      <c r="AD751" s="216"/>
      <c r="AE751" s="216"/>
      <c r="AF751" s="216"/>
      <c r="AG751" s="216"/>
      <c r="AH751" s="216"/>
      <c r="AI751" s="216"/>
      <c r="AJ751" s="216"/>
      <c r="AK751" s="216"/>
      <c r="AL751" s="216"/>
      <c r="AM751" s="216"/>
      <c r="AN751" s="216"/>
    </row>
    <row r="752">
      <c r="B752" s="267"/>
      <c r="C752" s="266"/>
      <c r="D752" s="266"/>
      <c r="E752" s="266"/>
      <c r="F752" s="266"/>
      <c r="G752" s="266"/>
      <c r="H752" s="266"/>
      <c r="I752" s="266"/>
      <c r="J752" s="266"/>
      <c r="K752" s="266"/>
      <c r="L752" s="266"/>
      <c r="M752" s="266"/>
      <c r="N752" s="266"/>
      <c r="O752" s="266"/>
      <c r="P752" s="266"/>
      <c r="Q752" s="266"/>
      <c r="R752" s="266"/>
      <c r="S752" s="216"/>
      <c r="T752" s="216"/>
      <c r="U752" s="217"/>
      <c r="V752" s="216"/>
      <c r="W752" s="216"/>
      <c r="X752" s="216"/>
      <c r="Y752" s="216"/>
      <c r="Z752" s="216"/>
      <c r="AA752" s="216"/>
      <c r="AB752" s="216"/>
      <c r="AC752" s="216"/>
      <c r="AD752" s="216"/>
      <c r="AE752" s="216"/>
      <c r="AF752" s="216"/>
      <c r="AG752" s="216"/>
      <c r="AH752" s="216"/>
      <c r="AI752" s="216"/>
      <c r="AJ752" s="216"/>
      <c r="AK752" s="216"/>
      <c r="AL752" s="216"/>
      <c r="AM752" s="216"/>
      <c r="AN752" s="216"/>
    </row>
    <row r="753">
      <c r="B753" s="267"/>
      <c r="C753" s="266"/>
      <c r="D753" s="266"/>
      <c r="E753" s="266"/>
      <c r="F753" s="266"/>
      <c r="G753" s="266"/>
      <c r="H753" s="266"/>
      <c r="I753" s="266"/>
      <c r="J753" s="266"/>
      <c r="K753" s="266"/>
      <c r="L753" s="266"/>
      <c r="M753" s="266"/>
      <c r="N753" s="266"/>
      <c r="O753" s="266"/>
      <c r="P753" s="266"/>
      <c r="Q753" s="266"/>
      <c r="R753" s="266"/>
      <c r="S753" s="216"/>
      <c r="T753" s="216"/>
      <c r="U753" s="217"/>
      <c r="V753" s="216"/>
      <c r="W753" s="216"/>
      <c r="X753" s="216"/>
      <c r="Y753" s="216"/>
      <c r="Z753" s="216"/>
      <c r="AA753" s="216"/>
      <c r="AB753" s="216"/>
      <c r="AC753" s="216"/>
      <c r="AD753" s="216"/>
      <c r="AE753" s="216"/>
      <c r="AF753" s="216"/>
      <c r="AG753" s="216"/>
      <c r="AH753" s="216"/>
      <c r="AI753" s="216"/>
      <c r="AJ753" s="216"/>
      <c r="AK753" s="216"/>
      <c r="AL753" s="216"/>
      <c r="AM753" s="216"/>
      <c r="AN753" s="216"/>
    </row>
    <row r="754">
      <c r="B754" s="267"/>
      <c r="C754" s="266"/>
      <c r="D754" s="266"/>
      <c r="E754" s="266"/>
      <c r="F754" s="266"/>
      <c r="G754" s="266"/>
      <c r="H754" s="266"/>
      <c r="I754" s="266"/>
      <c r="J754" s="266"/>
      <c r="K754" s="266"/>
      <c r="L754" s="266"/>
      <c r="M754" s="266"/>
      <c r="N754" s="266"/>
      <c r="O754" s="266"/>
      <c r="P754" s="266"/>
      <c r="Q754" s="266"/>
      <c r="R754" s="266"/>
      <c r="S754" s="216"/>
      <c r="T754" s="216"/>
      <c r="U754" s="217"/>
      <c r="V754" s="216"/>
      <c r="W754" s="216"/>
      <c r="X754" s="216"/>
      <c r="Y754" s="216"/>
      <c r="Z754" s="216"/>
      <c r="AA754" s="216"/>
      <c r="AB754" s="216"/>
      <c r="AC754" s="216"/>
      <c r="AD754" s="216"/>
      <c r="AE754" s="216"/>
      <c r="AF754" s="216"/>
      <c r="AG754" s="216"/>
      <c r="AH754" s="216"/>
      <c r="AI754" s="216"/>
      <c r="AJ754" s="216"/>
      <c r="AK754" s="216"/>
      <c r="AL754" s="216"/>
      <c r="AM754" s="216"/>
      <c r="AN754" s="216"/>
    </row>
    <row r="755">
      <c r="B755" s="267"/>
      <c r="C755" s="266"/>
      <c r="D755" s="266"/>
      <c r="E755" s="266"/>
      <c r="F755" s="266"/>
      <c r="G755" s="266"/>
      <c r="H755" s="266"/>
      <c r="I755" s="266"/>
      <c r="J755" s="266"/>
      <c r="K755" s="266"/>
      <c r="L755" s="266"/>
      <c r="M755" s="266"/>
      <c r="N755" s="266"/>
      <c r="O755" s="266"/>
      <c r="P755" s="266"/>
      <c r="Q755" s="266"/>
      <c r="R755" s="266"/>
      <c r="S755" s="216"/>
      <c r="T755" s="216"/>
      <c r="U755" s="217"/>
      <c r="V755" s="216"/>
      <c r="W755" s="216"/>
      <c r="X755" s="216"/>
      <c r="Y755" s="216"/>
      <c r="Z755" s="216"/>
      <c r="AA755" s="216"/>
      <c r="AB755" s="216"/>
      <c r="AC755" s="216"/>
      <c r="AD755" s="216"/>
      <c r="AE755" s="216"/>
      <c r="AF755" s="216"/>
      <c r="AG755" s="216"/>
      <c r="AH755" s="216"/>
      <c r="AI755" s="216"/>
      <c r="AJ755" s="216"/>
      <c r="AK755" s="216"/>
      <c r="AL755" s="216"/>
      <c r="AM755" s="216"/>
      <c r="AN755" s="216"/>
    </row>
    <row r="756">
      <c r="B756" s="267"/>
      <c r="C756" s="266"/>
      <c r="D756" s="266"/>
      <c r="E756" s="266"/>
      <c r="F756" s="266"/>
      <c r="G756" s="266"/>
      <c r="H756" s="266"/>
      <c r="I756" s="266"/>
      <c r="J756" s="266"/>
      <c r="K756" s="266"/>
      <c r="L756" s="266"/>
      <c r="M756" s="266"/>
      <c r="N756" s="266"/>
      <c r="O756" s="266"/>
      <c r="P756" s="266"/>
      <c r="Q756" s="266"/>
      <c r="R756" s="266"/>
      <c r="S756" s="216"/>
      <c r="T756" s="216"/>
      <c r="U756" s="217"/>
      <c r="V756" s="216"/>
      <c r="W756" s="216"/>
      <c r="X756" s="216"/>
      <c r="Y756" s="216"/>
      <c r="Z756" s="216"/>
      <c r="AA756" s="216"/>
      <c r="AB756" s="216"/>
      <c r="AC756" s="216"/>
      <c r="AD756" s="216"/>
      <c r="AE756" s="216"/>
      <c r="AF756" s="216"/>
      <c r="AG756" s="216"/>
      <c r="AH756" s="216"/>
      <c r="AI756" s="216"/>
      <c r="AJ756" s="216"/>
      <c r="AK756" s="216"/>
      <c r="AL756" s="216"/>
      <c r="AM756" s="216"/>
      <c r="AN756" s="216"/>
    </row>
    <row r="757">
      <c r="B757" s="267"/>
      <c r="C757" s="266"/>
      <c r="D757" s="266"/>
      <c r="E757" s="266"/>
      <c r="F757" s="266"/>
      <c r="G757" s="266"/>
      <c r="H757" s="266"/>
      <c r="I757" s="266"/>
      <c r="J757" s="266"/>
      <c r="K757" s="266"/>
      <c r="L757" s="266"/>
      <c r="M757" s="266"/>
      <c r="N757" s="266"/>
      <c r="O757" s="266"/>
      <c r="P757" s="266"/>
      <c r="Q757" s="266"/>
      <c r="R757" s="266"/>
      <c r="S757" s="216"/>
      <c r="T757" s="216"/>
      <c r="U757" s="217"/>
      <c r="V757" s="216"/>
      <c r="W757" s="216"/>
      <c r="X757" s="216"/>
      <c r="Y757" s="216"/>
      <c r="Z757" s="216"/>
      <c r="AA757" s="216"/>
      <c r="AB757" s="216"/>
      <c r="AC757" s="216"/>
      <c r="AD757" s="216"/>
      <c r="AE757" s="216"/>
      <c r="AF757" s="216"/>
      <c r="AG757" s="216"/>
      <c r="AH757" s="216"/>
      <c r="AI757" s="216"/>
      <c r="AJ757" s="216"/>
      <c r="AK757" s="216"/>
      <c r="AL757" s="216"/>
      <c r="AM757" s="216"/>
      <c r="AN757" s="216"/>
    </row>
    <row r="758">
      <c r="B758" s="267"/>
      <c r="C758" s="266"/>
      <c r="D758" s="266"/>
      <c r="E758" s="266"/>
      <c r="F758" s="266"/>
      <c r="G758" s="266"/>
      <c r="H758" s="266"/>
      <c r="I758" s="266"/>
      <c r="J758" s="266"/>
      <c r="K758" s="266"/>
      <c r="L758" s="266"/>
      <c r="M758" s="266"/>
      <c r="N758" s="266"/>
      <c r="O758" s="266"/>
      <c r="P758" s="266"/>
      <c r="Q758" s="266"/>
      <c r="R758" s="266"/>
      <c r="S758" s="216"/>
      <c r="T758" s="216"/>
      <c r="U758" s="217"/>
      <c r="V758" s="216"/>
      <c r="W758" s="216"/>
      <c r="X758" s="216"/>
      <c r="Y758" s="216"/>
      <c r="Z758" s="216"/>
      <c r="AA758" s="216"/>
      <c r="AB758" s="216"/>
      <c r="AC758" s="216"/>
      <c r="AD758" s="216"/>
      <c r="AE758" s="216"/>
      <c r="AF758" s="216"/>
      <c r="AG758" s="216"/>
      <c r="AH758" s="216"/>
      <c r="AI758" s="216"/>
      <c r="AJ758" s="216"/>
      <c r="AK758" s="216"/>
      <c r="AL758" s="216"/>
      <c r="AM758" s="216"/>
      <c r="AN758" s="216"/>
    </row>
    <row r="759">
      <c r="B759" s="267"/>
      <c r="C759" s="266"/>
      <c r="D759" s="266"/>
      <c r="E759" s="266"/>
      <c r="F759" s="266"/>
      <c r="G759" s="266"/>
      <c r="H759" s="266"/>
      <c r="I759" s="266"/>
      <c r="J759" s="266"/>
      <c r="K759" s="266"/>
      <c r="L759" s="266"/>
      <c r="M759" s="266"/>
      <c r="N759" s="266"/>
      <c r="O759" s="266"/>
      <c r="P759" s="266"/>
      <c r="Q759" s="266"/>
      <c r="R759" s="266"/>
      <c r="S759" s="216"/>
      <c r="T759" s="216"/>
      <c r="U759" s="217"/>
      <c r="V759" s="216"/>
      <c r="W759" s="216"/>
      <c r="X759" s="216"/>
      <c r="Y759" s="216"/>
      <c r="Z759" s="216"/>
      <c r="AA759" s="216"/>
      <c r="AB759" s="216"/>
      <c r="AC759" s="216"/>
      <c r="AD759" s="216"/>
      <c r="AE759" s="216"/>
      <c r="AF759" s="216"/>
      <c r="AG759" s="216"/>
      <c r="AH759" s="216"/>
      <c r="AI759" s="216"/>
      <c r="AJ759" s="216"/>
      <c r="AK759" s="216"/>
      <c r="AL759" s="216"/>
      <c r="AM759" s="216"/>
      <c r="AN759" s="216"/>
    </row>
    <row r="760">
      <c r="B760" s="267"/>
      <c r="C760" s="266"/>
      <c r="D760" s="266"/>
      <c r="E760" s="266"/>
      <c r="F760" s="266"/>
      <c r="G760" s="266"/>
      <c r="H760" s="266"/>
      <c r="I760" s="266"/>
      <c r="J760" s="266"/>
      <c r="K760" s="266"/>
      <c r="L760" s="266"/>
      <c r="M760" s="266"/>
      <c r="N760" s="266"/>
      <c r="O760" s="266"/>
      <c r="P760" s="266"/>
      <c r="Q760" s="266"/>
      <c r="R760" s="266"/>
      <c r="S760" s="216"/>
      <c r="T760" s="216"/>
      <c r="U760" s="217"/>
      <c r="V760" s="216"/>
      <c r="W760" s="216"/>
      <c r="X760" s="216"/>
      <c r="Y760" s="216"/>
      <c r="Z760" s="216"/>
      <c r="AA760" s="216"/>
      <c r="AB760" s="216"/>
      <c r="AC760" s="216"/>
      <c r="AD760" s="216"/>
      <c r="AE760" s="216"/>
      <c r="AF760" s="216"/>
      <c r="AG760" s="216"/>
      <c r="AH760" s="216"/>
      <c r="AI760" s="216"/>
      <c r="AJ760" s="216"/>
      <c r="AK760" s="216"/>
      <c r="AL760" s="216"/>
      <c r="AM760" s="216"/>
      <c r="AN760" s="216"/>
    </row>
    <row r="761">
      <c r="B761" s="267"/>
      <c r="C761" s="266"/>
      <c r="D761" s="266"/>
      <c r="E761" s="266"/>
      <c r="F761" s="266"/>
      <c r="G761" s="266"/>
      <c r="H761" s="266"/>
      <c r="I761" s="266"/>
      <c r="J761" s="266"/>
      <c r="K761" s="266"/>
      <c r="L761" s="266"/>
      <c r="M761" s="266"/>
      <c r="N761" s="266"/>
      <c r="O761" s="266"/>
      <c r="P761" s="266"/>
      <c r="Q761" s="266"/>
      <c r="R761" s="266"/>
      <c r="S761" s="216"/>
      <c r="T761" s="216"/>
      <c r="U761" s="217"/>
      <c r="V761" s="216"/>
      <c r="W761" s="216"/>
      <c r="X761" s="216"/>
      <c r="Y761" s="216"/>
      <c r="Z761" s="216"/>
      <c r="AA761" s="216"/>
      <c r="AB761" s="216"/>
      <c r="AC761" s="216"/>
      <c r="AD761" s="216"/>
      <c r="AE761" s="216"/>
      <c r="AF761" s="216"/>
      <c r="AG761" s="216"/>
      <c r="AH761" s="216"/>
      <c r="AI761" s="216"/>
      <c r="AJ761" s="216"/>
      <c r="AK761" s="216"/>
      <c r="AL761" s="216"/>
      <c r="AM761" s="216"/>
      <c r="AN761" s="216"/>
    </row>
    <row r="762">
      <c r="B762" s="267"/>
      <c r="C762" s="266"/>
      <c r="D762" s="266"/>
      <c r="E762" s="266"/>
      <c r="F762" s="266"/>
      <c r="G762" s="266"/>
      <c r="H762" s="266"/>
      <c r="I762" s="266"/>
      <c r="J762" s="266"/>
      <c r="K762" s="266"/>
      <c r="L762" s="266"/>
      <c r="M762" s="266"/>
      <c r="N762" s="266"/>
      <c r="O762" s="266"/>
      <c r="P762" s="266"/>
      <c r="Q762" s="266"/>
      <c r="R762" s="266"/>
      <c r="S762" s="216"/>
      <c r="T762" s="216"/>
      <c r="U762" s="217"/>
      <c r="V762" s="216"/>
      <c r="W762" s="216"/>
      <c r="X762" s="216"/>
      <c r="Y762" s="216"/>
      <c r="Z762" s="216"/>
      <c r="AA762" s="216"/>
      <c r="AB762" s="216"/>
      <c r="AC762" s="216"/>
      <c r="AD762" s="216"/>
      <c r="AE762" s="216"/>
      <c r="AF762" s="216"/>
      <c r="AG762" s="216"/>
      <c r="AH762" s="216"/>
      <c r="AI762" s="216"/>
      <c r="AJ762" s="216"/>
      <c r="AK762" s="216"/>
      <c r="AL762" s="216"/>
      <c r="AM762" s="216"/>
      <c r="AN762" s="216"/>
    </row>
    <row r="763">
      <c r="B763" s="267"/>
      <c r="C763" s="266"/>
      <c r="D763" s="266"/>
      <c r="E763" s="266"/>
      <c r="F763" s="266"/>
      <c r="G763" s="266"/>
      <c r="H763" s="266"/>
      <c r="I763" s="266"/>
      <c r="J763" s="266"/>
      <c r="K763" s="266"/>
      <c r="L763" s="266"/>
      <c r="M763" s="266"/>
      <c r="N763" s="266"/>
      <c r="O763" s="266"/>
      <c r="P763" s="266"/>
      <c r="Q763" s="266"/>
      <c r="R763" s="266"/>
      <c r="S763" s="216"/>
      <c r="T763" s="216"/>
      <c r="U763" s="217"/>
      <c r="V763" s="216"/>
      <c r="W763" s="216"/>
      <c r="X763" s="216"/>
      <c r="Y763" s="216"/>
      <c r="Z763" s="216"/>
      <c r="AA763" s="216"/>
      <c r="AB763" s="216"/>
      <c r="AC763" s="216"/>
      <c r="AD763" s="216"/>
      <c r="AE763" s="216"/>
      <c r="AF763" s="216"/>
      <c r="AG763" s="216"/>
      <c r="AH763" s="216"/>
      <c r="AI763" s="216"/>
      <c r="AJ763" s="216"/>
      <c r="AK763" s="216"/>
      <c r="AL763" s="216"/>
      <c r="AM763" s="216"/>
      <c r="AN763" s="216"/>
    </row>
    <row r="764">
      <c r="B764" s="267"/>
      <c r="C764" s="266"/>
      <c r="D764" s="266"/>
      <c r="E764" s="266"/>
      <c r="F764" s="266"/>
      <c r="G764" s="266"/>
      <c r="H764" s="266"/>
      <c r="I764" s="266"/>
      <c r="J764" s="266"/>
      <c r="K764" s="266"/>
      <c r="L764" s="266"/>
      <c r="M764" s="266"/>
      <c r="N764" s="266"/>
      <c r="O764" s="266"/>
      <c r="P764" s="266"/>
      <c r="Q764" s="266"/>
      <c r="R764" s="266"/>
      <c r="S764" s="216"/>
      <c r="T764" s="216"/>
      <c r="U764" s="217"/>
      <c r="V764" s="216"/>
      <c r="W764" s="216"/>
      <c r="X764" s="216"/>
      <c r="Y764" s="216"/>
      <c r="Z764" s="216"/>
      <c r="AA764" s="216"/>
      <c r="AB764" s="216"/>
      <c r="AC764" s="216"/>
      <c r="AD764" s="216"/>
      <c r="AE764" s="216"/>
      <c r="AF764" s="216"/>
      <c r="AG764" s="216"/>
      <c r="AH764" s="216"/>
      <c r="AI764" s="216"/>
      <c r="AJ764" s="216"/>
      <c r="AK764" s="216"/>
      <c r="AL764" s="216"/>
      <c r="AM764" s="216"/>
      <c r="AN764" s="216"/>
    </row>
    <row r="765">
      <c r="B765" s="267"/>
      <c r="C765" s="266"/>
      <c r="D765" s="266"/>
      <c r="E765" s="266"/>
      <c r="F765" s="266"/>
      <c r="G765" s="266"/>
      <c r="H765" s="266"/>
      <c r="I765" s="266"/>
      <c r="J765" s="266"/>
      <c r="K765" s="266"/>
      <c r="L765" s="266"/>
      <c r="M765" s="266"/>
      <c r="N765" s="266"/>
      <c r="O765" s="266"/>
      <c r="P765" s="266"/>
      <c r="Q765" s="266"/>
      <c r="R765" s="266"/>
      <c r="S765" s="216"/>
      <c r="T765" s="216"/>
      <c r="U765" s="217"/>
      <c r="V765" s="216"/>
      <c r="W765" s="216"/>
      <c r="X765" s="216"/>
      <c r="Y765" s="216"/>
      <c r="Z765" s="216"/>
      <c r="AA765" s="216"/>
      <c r="AB765" s="216"/>
      <c r="AC765" s="216"/>
      <c r="AD765" s="216"/>
      <c r="AE765" s="216"/>
      <c r="AF765" s="216"/>
      <c r="AG765" s="216"/>
      <c r="AH765" s="216"/>
      <c r="AI765" s="216"/>
      <c r="AJ765" s="216"/>
      <c r="AK765" s="216"/>
      <c r="AL765" s="216"/>
      <c r="AM765" s="216"/>
      <c r="AN765" s="216"/>
    </row>
    <row r="766">
      <c r="B766" s="267"/>
      <c r="C766" s="266"/>
      <c r="D766" s="266"/>
      <c r="E766" s="266"/>
      <c r="F766" s="266"/>
      <c r="G766" s="266"/>
      <c r="H766" s="266"/>
      <c r="I766" s="266"/>
      <c r="J766" s="266"/>
      <c r="K766" s="266"/>
      <c r="L766" s="266"/>
      <c r="M766" s="266"/>
      <c r="N766" s="266"/>
      <c r="O766" s="266"/>
      <c r="P766" s="266"/>
      <c r="Q766" s="266"/>
      <c r="R766" s="266"/>
      <c r="S766" s="216"/>
      <c r="T766" s="216"/>
      <c r="U766" s="217"/>
      <c r="V766" s="216"/>
      <c r="W766" s="216"/>
      <c r="X766" s="216"/>
      <c r="Y766" s="216"/>
      <c r="Z766" s="216"/>
      <c r="AA766" s="216"/>
      <c r="AB766" s="216"/>
      <c r="AC766" s="216"/>
      <c r="AD766" s="216"/>
      <c r="AE766" s="216"/>
      <c r="AF766" s="216"/>
      <c r="AG766" s="216"/>
      <c r="AH766" s="216"/>
      <c r="AI766" s="216"/>
      <c r="AJ766" s="216"/>
      <c r="AK766" s="216"/>
      <c r="AL766" s="216"/>
      <c r="AM766" s="216"/>
      <c r="AN766" s="216"/>
    </row>
    <row r="767">
      <c r="B767" s="267"/>
      <c r="C767" s="266"/>
      <c r="D767" s="266"/>
      <c r="E767" s="266"/>
      <c r="F767" s="266"/>
      <c r="G767" s="266"/>
      <c r="H767" s="266"/>
      <c r="I767" s="266"/>
      <c r="J767" s="266"/>
      <c r="K767" s="266"/>
      <c r="L767" s="266"/>
      <c r="M767" s="266"/>
      <c r="N767" s="266"/>
      <c r="O767" s="266"/>
      <c r="P767" s="266"/>
      <c r="Q767" s="266"/>
      <c r="R767" s="266"/>
      <c r="S767" s="216"/>
      <c r="T767" s="216"/>
      <c r="U767" s="217"/>
      <c r="V767" s="216"/>
      <c r="W767" s="216"/>
      <c r="X767" s="216"/>
      <c r="Y767" s="216"/>
      <c r="Z767" s="216"/>
      <c r="AA767" s="216"/>
      <c r="AB767" s="216"/>
      <c r="AC767" s="216"/>
      <c r="AD767" s="216"/>
      <c r="AE767" s="216"/>
      <c r="AF767" s="216"/>
      <c r="AG767" s="216"/>
      <c r="AH767" s="216"/>
      <c r="AI767" s="216"/>
      <c r="AJ767" s="216"/>
      <c r="AK767" s="216"/>
      <c r="AL767" s="216"/>
      <c r="AM767" s="216"/>
      <c r="AN767" s="216"/>
    </row>
    <row r="768">
      <c r="B768" s="267"/>
      <c r="C768" s="266"/>
      <c r="D768" s="266"/>
      <c r="E768" s="266"/>
      <c r="F768" s="266"/>
      <c r="G768" s="266"/>
      <c r="H768" s="266"/>
      <c r="I768" s="266"/>
      <c r="J768" s="266"/>
      <c r="K768" s="266"/>
      <c r="L768" s="266"/>
      <c r="M768" s="266"/>
      <c r="N768" s="266"/>
      <c r="O768" s="266"/>
      <c r="P768" s="266"/>
      <c r="Q768" s="266"/>
      <c r="R768" s="266"/>
      <c r="S768" s="216"/>
      <c r="T768" s="216"/>
      <c r="U768" s="217"/>
      <c r="V768" s="216"/>
      <c r="W768" s="216"/>
      <c r="X768" s="216"/>
      <c r="Y768" s="216"/>
      <c r="Z768" s="216"/>
      <c r="AA768" s="216"/>
      <c r="AB768" s="216"/>
      <c r="AC768" s="216"/>
      <c r="AD768" s="216"/>
      <c r="AE768" s="216"/>
      <c r="AF768" s="216"/>
      <c r="AG768" s="216"/>
      <c r="AH768" s="216"/>
      <c r="AI768" s="216"/>
      <c r="AJ768" s="216"/>
      <c r="AK768" s="216"/>
      <c r="AL768" s="216"/>
      <c r="AM768" s="216"/>
      <c r="AN768" s="216"/>
    </row>
    <row r="769">
      <c r="B769" s="267"/>
      <c r="C769" s="266"/>
      <c r="D769" s="266"/>
      <c r="E769" s="266"/>
      <c r="F769" s="266"/>
      <c r="G769" s="266"/>
      <c r="H769" s="266"/>
      <c r="I769" s="266"/>
      <c r="J769" s="266"/>
      <c r="K769" s="266"/>
      <c r="L769" s="266"/>
      <c r="M769" s="266"/>
      <c r="N769" s="266"/>
      <c r="O769" s="266"/>
      <c r="P769" s="266"/>
      <c r="Q769" s="266"/>
      <c r="R769" s="266"/>
      <c r="S769" s="216"/>
      <c r="T769" s="216"/>
      <c r="U769" s="217"/>
      <c r="V769" s="216"/>
      <c r="W769" s="216"/>
      <c r="X769" s="216"/>
      <c r="Y769" s="216"/>
      <c r="Z769" s="216"/>
      <c r="AA769" s="216"/>
      <c r="AB769" s="216"/>
      <c r="AC769" s="216"/>
      <c r="AD769" s="216"/>
      <c r="AE769" s="216"/>
      <c r="AF769" s="216"/>
      <c r="AG769" s="216"/>
      <c r="AH769" s="216"/>
      <c r="AI769" s="216"/>
      <c r="AJ769" s="216"/>
      <c r="AK769" s="216"/>
      <c r="AL769" s="216"/>
      <c r="AM769" s="216"/>
      <c r="AN769" s="216"/>
    </row>
    <row r="770">
      <c r="B770" s="267"/>
      <c r="C770" s="266"/>
      <c r="D770" s="266"/>
      <c r="E770" s="266"/>
      <c r="F770" s="266"/>
      <c r="G770" s="266"/>
      <c r="H770" s="266"/>
      <c r="I770" s="266"/>
      <c r="J770" s="266"/>
      <c r="K770" s="266"/>
      <c r="L770" s="266"/>
      <c r="M770" s="266"/>
      <c r="N770" s="266"/>
      <c r="O770" s="266"/>
      <c r="P770" s="266"/>
      <c r="Q770" s="266"/>
      <c r="R770" s="266"/>
      <c r="S770" s="216"/>
      <c r="T770" s="216"/>
      <c r="U770" s="217"/>
      <c r="V770" s="216"/>
      <c r="W770" s="216"/>
      <c r="X770" s="216"/>
      <c r="Y770" s="216"/>
      <c r="Z770" s="216"/>
      <c r="AA770" s="216"/>
      <c r="AB770" s="216"/>
      <c r="AC770" s="216"/>
      <c r="AD770" s="216"/>
      <c r="AE770" s="216"/>
      <c r="AF770" s="216"/>
      <c r="AG770" s="216"/>
      <c r="AH770" s="216"/>
      <c r="AI770" s="216"/>
      <c r="AJ770" s="216"/>
      <c r="AK770" s="216"/>
      <c r="AL770" s="216"/>
      <c r="AM770" s="216"/>
      <c r="AN770" s="216"/>
    </row>
    <row r="771">
      <c r="B771" s="267"/>
      <c r="C771" s="266"/>
      <c r="D771" s="266"/>
      <c r="E771" s="266"/>
      <c r="F771" s="266"/>
      <c r="G771" s="266"/>
      <c r="H771" s="266"/>
      <c r="I771" s="266"/>
      <c r="J771" s="266"/>
      <c r="K771" s="266"/>
      <c r="L771" s="266"/>
      <c r="M771" s="266"/>
      <c r="N771" s="266"/>
      <c r="O771" s="266"/>
      <c r="P771" s="266"/>
      <c r="Q771" s="266"/>
      <c r="R771" s="266"/>
      <c r="S771" s="216"/>
      <c r="T771" s="216"/>
      <c r="U771" s="217"/>
      <c r="V771" s="216"/>
      <c r="W771" s="216"/>
      <c r="X771" s="216"/>
      <c r="Y771" s="216"/>
      <c r="Z771" s="216"/>
      <c r="AA771" s="216"/>
      <c r="AB771" s="216"/>
      <c r="AC771" s="216"/>
      <c r="AD771" s="216"/>
      <c r="AE771" s="216"/>
      <c r="AF771" s="216"/>
      <c r="AG771" s="216"/>
      <c r="AH771" s="216"/>
      <c r="AI771" s="216"/>
      <c r="AJ771" s="216"/>
      <c r="AK771" s="216"/>
      <c r="AL771" s="216"/>
      <c r="AM771" s="216"/>
      <c r="AN771" s="216"/>
    </row>
    <row r="772">
      <c r="B772" s="267"/>
      <c r="C772" s="266"/>
      <c r="D772" s="266"/>
      <c r="E772" s="266"/>
      <c r="F772" s="266"/>
      <c r="G772" s="266"/>
      <c r="H772" s="266"/>
      <c r="I772" s="266"/>
      <c r="J772" s="266"/>
      <c r="K772" s="266"/>
      <c r="L772" s="266"/>
      <c r="M772" s="266"/>
      <c r="N772" s="266"/>
      <c r="O772" s="266"/>
      <c r="P772" s="266"/>
      <c r="Q772" s="266"/>
      <c r="R772" s="266"/>
      <c r="S772" s="216"/>
      <c r="T772" s="216"/>
      <c r="U772" s="217"/>
      <c r="V772" s="216"/>
      <c r="W772" s="216"/>
      <c r="X772" s="216"/>
      <c r="Y772" s="216"/>
      <c r="Z772" s="216"/>
      <c r="AA772" s="216"/>
      <c r="AB772" s="216"/>
      <c r="AC772" s="216"/>
      <c r="AD772" s="216"/>
      <c r="AE772" s="216"/>
      <c r="AF772" s="216"/>
      <c r="AG772" s="216"/>
      <c r="AH772" s="216"/>
      <c r="AI772" s="216"/>
      <c r="AJ772" s="216"/>
      <c r="AK772" s="216"/>
      <c r="AL772" s="216"/>
      <c r="AM772" s="216"/>
      <c r="AN772" s="216"/>
    </row>
    <row r="773">
      <c r="B773" s="267"/>
      <c r="C773" s="266"/>
      <c r="D773" s="266"/>
      <c r="E773" s="266"/>
      <c r="F773" s="266"/>
      <c r="G773" s="266"/>
      <c r="H773" s="266"/>
      <c r="I773" s="266"/>
      <c r="J773" s="266"/>
      <c r="K773" s="266"/>
      <c r="L773" s="266"/>
      <c r="M773" s="266"/>
      <c r="N773" s="266"/>
      <c r="O773" s="266"/>
      <c r="P773" s="266"/>
      <c r="Q773" s="266"/>
      <c r="R773" s="266"/>
      <c r="S773" s="216"/>
      <c r="T773" s="216"/>
      <c r="U773" s="217"/>
      <c r="V773" s="216"/>
      <c r="W773" s="216"/>
      <c r="X773" s="216"/>
      <c r="Y773" s="216"/>
      <c r="Z773" s="216"/>
      <c r="AA773" s="216"/>
      <c r="AB773" s="216"/>
      <c r="AC773" s="216"/>
      <c r="AD773" s="216"/>
      <c r="AE773" s="216"/>
      <c r="AF773" s="216"/>
      <c r="AG773" s="216"/>
      <c r="AH773" s="216"/>
      <c r="AI773" s="216"/>
      <c r="AJ773" s="216"/>
      <c r="AK773" s="216"/>
      <c r="AL773" s="216"/>
      <c r="AM773" s="216"/>
      <c r="AN773" s="216"/>
    </row>
    <row r="774">
      <c r="B774" s="267"/>
      <c r="C774" s="266"/>
      <c r="D774" s="266"/>
      <c r="E774" s="266"/>
      <c r="F774" s="266"/>
      <c r="G774" s="266"/>
      <c r="H774" s="266"/>
      <c r="I774" s="266"/>
      <c r="J774" s="266"/>
      <c r="K774" s="266"/>
      <c r="L774" s="266"/>
      <c r="M774" s="266"/>
      <c r="N774" s="266"/>
      <c r="O774" s="266"/>
      <c r="P774" s="266"/>
      <c r="Q774" s="266"/>
      <c r="R774" s="266"/>
      <c r="S774" s="216"/>
      <c r="T774" s="216"/>
      <c r="U774" s="217"/>
      <c r="V774" s="216"/>
      <c r="W774" s="216"/>
      <c r="X774" s="216"/>
      <c r="Y774" s="216"/>
      <c r="Z774" s="216"/>
      <c r="AA774" s="216"/>
      <c r="AB774" s="216"/>
      <c r="AC774" s="216"/>
      <c r="AD774" s="216"/>
      <c r="AE774" s="216"/>
      <c r="AF774" s="216"/>
      <c r="AG774" s="216"/>
      <c r="AH774" s="216"/>
      <c r="AI774" s="216"/>
      <c r="AJ774" s="216"/>
      <c r="AK774" s="216"/>
      <c r="AL774" s="216"/>
      <c r="AM774" s="216"/>
      <c r="AN774" s="216"/>
    </row>
    <row r="775">
      <c r="B775" s="267"/>
      <c r="C775" s="266"/>
      <c r="D775" s="266"/>
      <c r="E775" s="266"/>
      <c r="F775" s="266"/>
      <c r="G775" s="266"/>
      <c r="H775" s="266"/>
      <c r="I775" s="266"/>
      <c r="J775" s="266"/>
      <c r="K775" s="266"/>
      <c r="L775" s="266"/>
      <c r="M775" s="266"/>
      <c r="N775" s="266"/>
      <c r="O775" s="266"/>
      <c r="P775" s="266"/>
      <c r="Q775" s="266"/>
      <c r="R775" s="266"/>
      <c r="S775" s="216"/>
      <c r="T775" s="216"/>
      <c r="U775" s="217"/>
      <c r="V775" s="216"/>
      <c r="W775" s="216"/>
      <c r="X775" s="216"/>
      <c r="Y775" s="216"/>
      <c r="Z775" s="216"/>
      <c r="AA775" s="216"/>
      <c r="AB775" s="216"/>
      <c r="AC775" s="216"/>
      <c r="AD775" s="216"/>
      <c r="AE775" s="216"/>
      <c r="AF775" s="216"/>
      <c r="AG775" s="216"/>
      <c r="AH775" s="216"/>
      <c r="AI775" s="216"/>
      <c r="AJ775" s="216"/>
      <c r="AK775" s="216"/>
      <c r="AL775" s="216"/>
      <c r="AM775" s="216"/>
      <c r="AN775" s="216"/>
    </row>
    <row r="776">
      <c r="B776" s="267"/>
      <c r="C776" s="266"/>
      <c r="D776" s="266"/>
      <c r="E776" s="266"/>
      <c r="F776" s="266"/>
      <c r="G776" s="266"/>
      <c r="H776" s="266"/>
      <c r="I776" s="266"/>
      <c r="J776" s="266"/>
      <c r="K776" s="266"/>
      <c r="L776" s="266"/>
      <c r="M776" s="266"/>
      <c r="N776" s="266"/>
      <c r="O776" s="266"/>
      <c r="P776" s="266"/>
      <c r="Q776" s="266"/>
      <c r="R776" s="266"/>
      <c r="S776" s="216"/>
      <c r="T776" s="216"/>
      <c r="U776" s="217"/>
      <c r="V776" s="216"/>
      <c r="W776" s="216"/>
      <c r="X776" s="216"/>
      <c r="Y776" s="216"/>
      <c r="Z776" s="216"/>
      <c r="AA776" s="216"/>
      <c r="AB776" s="216"/>
      <c r="AC776" s="216"/>
      <c r="AD776" s="216"/>
      <c r="AE776" s="216"/>
      <c r="AF776" s="216"/>
      <c r="AG776" s="216"/>
      <c r="AH776" s="216"/>
      <c r="AI776" s="216"/>
      <c r="AJ776" s="216"/>
      <c r="AK776" s="216"/>
      <c r="AL776" s="216"/>
      <c r="AM776" s="216"/>
      <c r="AN776" s="216"/>
    </row>
    <row r="777">
      <c r="B777" s="267"/>
      <c r="C777" s="266"/>
      <c r="D777" s="266"/>
      <c r="E777" s="266"/>
      <c r="F777" s="266"/>
      <c r="G777" s="266"/>
      <c r="H777" s="266"/>
      <c r="I777" s="266"/>
      <c r="J777" s="266"/>
      <c r="K777" s="266"/>
      <c r="L777" s="266"/>
      <c r="M777" s="266"/>
      <c r="N777" s="266"/>
      <c r="O777" s="266"/>
      <c r="P777" s="266"/>
      <c r="Q777" s="266"/>
      <c r="R777" s="266"/>
      <c r="S777" s="216"/>
      <c r="T777" s="216"/>
      <c r="U777" s="217"/>
      <c r="V777" s="216"/>
      <c r="W777" s="216"/>
      <c r="X777" s="216"/>
      <c r="Y777" s="216"/>
      <c r="Z777" s="216"/>
      <c r="AA777" s="216"/>
      <c r="AB777" s="216"/>
      <c r="AC777" s="216"/>
      <c r="AD777" s="216"/>
      <c r="AE777" s="216"/>
      <c r="AF777" s="216"/>
      <c r="AG777" s="216"/>
      <c r="AH777" s="216"/>
      <c r="AI777" s="216"/>
      <c r="AJ777" s="216"/>
      <c r="AK777" s="216"/>
      <c r="AL777" s="216"/>
      <c r="AM777" s="216"/>
      <c r="AN777" s="216"/>
    </row>
    <row r="778">
      <c r="B778" s="267"/>
      <c r="C778" s="266"/>
      <c r="D778" s="266"/>
      <c r="E778" s="266"/>
      <c r="F778" s="266"/>
      <c r="G778" s="266"/>
      <c r="H778" s="266"/>
      <c r="I778" s="266"/>
      <c r="J778" s="266"/>
      <c r="K778" s="266"/>
      <c r="L778" s="266"/>
      <c r="M778" s="266"/>
      <c r="N778" s="266"/>
      <c r="O778" s="266"/>
      <c r="P778" s="266"/>
      <c r="Q778" s="266"/>
      <c r="R778" s="266"/>
      <c r="S778" s="216"/>
      <c r="T778" s="216"/>
      <c r="U778" s="217"/>
      <c r="V778" s="216"/>
      <c r="W778" s="216"/>
      <c r="X778" s="216"/>
      <c r="Y778" s="216"/>
      <c r="Z778" s="216"/>
      <c r="AA778" s="216"/>
      <c r="AB778" s="216"/>
      <c r="AC778" s="216"/>
      <c r="AD778" s="216"/>
      <c r="AE778" s="216"/>
      <c r="AF778" s="216"/>
      <c r="AG778" s="216"/>
      <c r="AH778" s="216"/>
      <c r="AI778" s="216"/>
      <c r="AJ778" s="216"/>
      <c r="AK778" s="216"/>
      <c r="AL778" s="216"/>
      <c r="AM778" s="216"/>
      <c r="AN778" s="216"/>
    </row>
    <row r="779">
      <c r="B779" s="267"/>
      <c r="C779" s="266"/>
      <c r="D779" s="266"/>
      <c r="E779" s="266"/>
      <c r="F779" s="266"/>
      <c r="G779" s="266"/>
      <c r="H779" s="266"/>
      <c r="I779" s="266"/>
      <c r="J779" s="266"/>
      <c r="K779" s="266"/>
      <c r="L779" s="266"/>
      <c r="M779" s="266"/>
      <c r="N779" s="266"/>
      <c r="O779" s="266"/>
      <c r="P779" s="266"/>
      <c r="Q779" s="266"/>
      <c r="R779" s="266"/>
      <c r="S779" s="216"/>
      <c r="T779" s="216"/>
      <c r="U779" s="217"/>
      <c r="V779" s="216"/>
      <c r="W779" s="216"/>
      <c r="X779" s="216"/>
      <c r="Y779" s="216"/>
      <c r="Z779" s="216"/>
      <c r="AA779" s="216"/>
      <c r="AB779" s="216"/>
      <c r="AC779" s="216"/>
      <c r="AD779" s="216"/>
      <c r="AE779" s="216"/>
      <c r="AF779" s="216"/>
      <c r="AG779" s="216"/>
      <c r="AH779" s="216"/>
      <c r="AI779" s="216"/>
      <c r="AJ779" s="216"/>
      <c r="AK779" s="216"/>
      <c r="AL779" s="216"/>
      <c r="AM779" s="216"/>
      <c r="AN779" s="216"/>
    </row>
    <row r="780">
      <c r="B780" s="267"/>
      <c r="C780" s="266"/>
      <c r="D780" s="266"/>
      <c r="E780" s="266"/>
      <c r="F780" s="266"/>
      <c r="G780" s="266"/>
      <c r="H780" s="266"/>
      <c r="I780" s="266"/>
      <c r="J780" s="266"/>
      <c r="K780" s="266"/>
      <c r="L780" s="266"/>
      <c r="M780" s="266"/>
      <c r="N780" s="266"/>
      <c r="O780" s="266"/>
      <c r="P780" s="266"/>
      <c r="Q780" s="266"/>
      <c r="R780" s="266"/>
      <c r="S780" s="216"/>
      <c r="T780" s="216"/>
      <c r="U780" s="217"/>
      <c r="V780" s="216"/>
      <c r="W780" s="216"/>
      <c r="X780" s="216"/>
      <c r="Y780" s="216"/>
      <c r="Z780" s="216"/>
      <c r="AA780" s="216"/>
      <c r="AB780" s="216"/>
      <c r="AC780" s="216"/>
      <c r="AD780" s="216"/>
      <c r="AE780" s="216"/>
      <c r="AF780" s="216"/>
      <c r="AG780" s="216"/>
      <c r="AH780" s="216"/>
      <c r="AI780" s="216"/>
      <c r="AJ780" s="216"/>
      <c r="AK780" s="216"/>
      <c r="AL780" s="216"/>
      <c r="AM780" s="216"/>
      <c r="AN780" s="216"/>
    </row>
    <row r="781">
      <c r="B781" s="267"/>
      <c r="C781" s="266"/>
      <c r="D781" s="266"/>
      <c r="E781" s="266"/>
      <c r="F781" s="266"/>
      <c r="G781" s="266"/>
      <c r="H781" s="266"/>
      <c r="I781" s="266"/>
      <c r="J781" s="266"/>
      <c r="K781" s="266"/>
      <c r="L781" s="266"/>
      <c r="M781" s="266"/>
      <c r="N781" s="266"/>
      <c r="O781" s="266"/>
      <c r="P781" s="266"/>
      <c r="Q781" s="266"/>
      <c r="R781" s="266"/>
      <c r="S781" s="216"/>
      <c r="T781" s="216"/>
      <c r="U781" s="217"/>
      <c r="V781" s="216"/>
      <c r="W781" s="216"/>
      <c r="X781" s="216"/>
      <c r="Y781" s="216"/>
      <c r="Z781" s="216"/>
      <c r="AA781" s="216"/>
      <c r="AB781" s="216"/>
      <c r="AC781" s="216"/>
      <c r="AD781" s="216"/>
      <c r="AE781" s="216"/>
      <c r="AF781" s="216"/>
      <c r="AG781" s="216"/>
      <c r="AH781" s="216"/>
      <c r="AI781" s="216"/>
      <c r="AJ781" s="216"/>
      <c r="AK781" s="216"/>
      <c r="AL781" s="216"/>
      <c r="AM781" s="216"/>
      <c r="AN781" s="216"/>
    </row>
    <row r="782">
      <c r="B782" s="267"/>
      <c r="C782" s="266"/>
      <c r="D782" s="266"/>
      <c r="E782" s="266"/>
      <c r="F782" s="266"/>
      <c r="G782" s="266"/>
      <c r="H782" s="266"/>
      <c r="I782" s="266"/>
      <c r="J782" s="266"/>
      <c r="K782" s="266"/>
      <c r="L782" s="266"/>
      <c r="M782" s="266"/>
      <c r="N782" s="266"/>
      <c r="O782" s="266"/>
      <c r="P782" s="266"/>
      <c r="Q782" s="266"/>
      <c r="R782" s="266"/>
      <c r="S782" s="216"/>
      <c r="T782" s="216"/>
      <c r="U782" s="217"/>
      <c r="V782" s="216"/>
      <c r="W782" s="216"/>
      <c r="X782" s="216"/>
      <c r="Y782" s="216"/>
      <c r="Z782" s="216"/>
      <c r="AA782" s="216"/>
      <c r="AB782" s="216"/>
      <c r="AC782" s="216"/>
      <c r="AD782" s="216"/>
      <c r="AE782" s="216"/>
      <c r="AF782" s="216"/>
      <c r="AG782" s="216"/>
      <c r="AH782" s="216"/>
      <c r="AI782" s="216"/>
      <c r="AJ782" s="216"/>
      <c r="AK782" s="216"/>
      <c r="AL782" s="216"/>
      <c r="AM782" s="216"/>
      <c r="AN782" s="216"/>
    </row>
    <row r="783">
      <c r="B783" s="267"/>
      <c r="C783" s="266"/>
      <c r="D783" s="266"/>
      <c r="E783" s="266"/>
      <c r="F783" s="266"/>
      <c r="G783" s="266"/>
      <c r="H783" s="266"/>
      <c r="I783" s="266"/>
      <c r="J783" s="266"/>
      <c r="K783" s="266"/>
      <c r="L783" s="266"/>
      <c r="M783" s="266"/>
      <c r="N783" s="266"/>
      <c r="O783" s="266"/>
      <c r="P783" s="266"/>
      <c r="Q783" s="266"/>
      <c r="R783" s="266"/>
      <c r="S783" s="216"/>
      <c r="T783" s="216"/>
      <c r="U783" s="217"/>
      <c r="V783" s="216"/>
      <c r="W783" s="216"/>
      <c r="X783" s="216"/>
      <c r="Y783" s="216"/>
      <c r="Z783" s="216"/>
      <c r="AA783" s="216"/>
      <c r="AB783" s="216"/>
      <c r="AC783" s="216"/>
      <c r="AD783" s="216"/>
      <c r="AE783" s="216"/>
      <c r="AF783" s="216"/>
      <c r="AG783" s="216"/>
      <c r="AH783" s="216"/>
      <c r="AI783" s="216"/>
      <c r="AJ783" s="216"/>
      <c r="AK783" s="216"/>
      <c r="AL783" s="216"/>
      <c r="AM783" s="216"/>
      <c r="AN783" s="216"/>
    </row>
    <row r="784">
      <c r="B784" s="267"/>
      <c r="C784" s="266"/>
      <c r="D784" s="266"/>
      <c r="E784" s="266"/>
      <c r="F784" s="266"/>
      <c r="G784" s="266"/>
      <c r="H784" s="266"/>
      <c r="I784" s="266"/>
      <c r="J784" s="266"/>
      <c r="K784" s="266"/>
      <c r="L784" s="266"/>
      <c r="M784" s="266"/>
      <c r="N784" s="266"/>
      <c r="O784" s="266"/>
      <c r="P784" s="266"/>
      <c r="Q784" s="266"/>
      <c r="R784" s="266"/>
      <c r="S784" s="216"/>
      <c r="T784" s="216"/>
      <c r="U784" s="217"/>
      <c r="V784" s="216"/>
      <c r="W784" s="216"/>
      <c r="X784" s="216"/>
      <c r="Y784" s="216"/>
      <c r="Z784" s="216"/>
      <c r="AA784" s="216"/>
      <c r="AB784" s="216"/>
      <c r="AC784" s="216"/>
      <c r="AD784" s="216"/>
      <c r="AE784" s="216"/>
      <c r="AF784" s="216"/>
      <c r="AG784" s="216"/>
      <c r="AH784" s="216"/>
      <c r="AI784" s="216"/>
      <c r="AJ784" s="216"/>
      <c r="AK784" s="216"/>
      <c r="AL784" s="216"/>
      <c r="AM784" s="216"/>
      <c r="AN784" s="216"/>
    </row>
    <row r="785">
      <c r="B785" s="267"/>
      <c r="C785" s="266"/>
      <c r="D785" s="266"/>
      <c r="E785" s="266"/>
      <c r="F785" s="266"/>
      <c r="G785" s="266"/>
      <c r="H785" s="266"/>
      <c r="I785" s="266"/>
      <c r="J785" s="266"/>
      <c r="K785" s="266"/>
      <c r="L785" s="266"/>
      <c r="M785" s="266"/>
      <c r="N785" s="266"/>
      <c r="O785" s="266"/>
      <c r="P785" s="266"/>
      <c r="Q785" s="266"/>
      <c r="R785" s="266"/>
      <c r="S785" s="216"/>
      <c r="T785" s="216"/>
      <c r="U785" s="217"/>
      <c r="V785" s="216"/>
      <c r="W785" s="216"/>
      <c r="X785" s="216"/>
      <c r="Y785" s="216"/>
      <c r="Z785" s="216"/>
      <c r="AA785" s="216"/>
      <c r="AB785" s="216"/>
      <c r="AC785" s="216"/>
      <c r="AD785" s="216"/>
      <c r="AE785" s="216"/>
      <c r="AF785" s="216"/>
      <c r="AG785" s="216"/>
      <c r="AH785" s="216"/>
      <c r="AI785" s="216"/>
      <c r="AJ785" s="216"/>
      <c r="AK785" s="216"/>
      <c r="AL785" s="216"/>
      <c r="AM785" s="216"/>
      <c r="AN785" s="216"/>
    </row>
    <row r="786">
      <c r="B786" s="267"/>
      <c r="C786" s="266"/>
      <c r="D786" s="266"/>
      <c r="E786" s="266"/>
      <c r="F786" s="266"/>
      <c r="G786" s="266"/>
      <c r="H786" s="266"/>
      <c r="I786" s="266"/>
      <c r="J786" s="266"/>
      <c r="K786" s="266"/>
      <c r="L786" s="266"/>
      <c r="M786" s="266"/>
      <c r="N786" s="266"/>
      <c r="O786" s="266"/>
      <c r="P786" s="266"/>
      <c r="Q786" s="266"/>
      <c r="R786" s="266"/>
      <c r="S786" s="216"/>
      <c r="T786" s="216"/>
      <c r="U786" s="217"/>
      <c r="V786" s="216"/>
      <c r="W786" s="216"/>
      <c r="X786" s="216"/>
      <c r="Y786" s="216"/>
      <c r="Z786" s="216"/>
      <c r="AA786" s="216"/>
      <c r="AB786" s="216"/>
      <c r="AC786" s="216"/>
      <c r="AD786" s="216"/>
      <c r="AE786" s="216"/>
      <c r="AF786" s="216"/>
      <c r="AG786" s="216"/>
      <c r="AH786" s="216"/>
      <c r="AI786" s="216"/>
      <c r="AJ786" s="216"/>
      <c r="AK786" s="216"/>
      <c r="AL786" s="216"/>
      <c r="AM786" s="216"/>
      <c r="AN786" s="216"/>
    </row>
    <row r="787">
      <c r="B787" s="267"/>
      <c r="C787" s="266"/>
      <c r="D787" s="266"/>
      <c r="E787" s="266"/>
      <c r="F787" s="266"/>
      <c r="G787" s="266"/>
      <c r="H787" s="266"/>
      <c r="I787" s="266"/>
      <c r="J787" s="266"/>
      <c r="K787" s="266"/>
      <c r="L787" s="266"/>
      <c r="M787" s="266"/>
      <c r="N787" s="266"/>
      <c r="O787" s="266"/>
      <c r="P787" s="266"/>
      <c r="Q787" s="266"/>
      <c r="R787" s="266"/>
      <c r="S787" s="216"/>
      <c r="T787" s="216"/>
      <c r="U787" s="217"/>
      <c r="V787" s="216"/>
      <c r="W787" s="216"/>
      <c r="X787" s="216"/>
      <c r="Y787" s="216"/>
      <c r="Z787" s="216"/>
      <c r="AA787" s="216"/>
      <c r="AB787" s="216"/>
      <c r="AC787" s="216"/>
      <c r="AD787" s="216"/>
      <c r="AE787" s="216"/>
      <c r="AF787" s="216"/>
      <c r="AG787" s="216"/>
      <c r="AH787" s="216"/>
      <c r="AI787" s="216"/>
      <c r="AJ787" s="216"/>
      <c r="AK787" s="216"/>
      <c r="AL787" s="216"/>
      <c r="AM787" s="216"/>
      <c r="AN787" s="216"/>
    </row>
    <row r="788">
      <c r="B788" s="267"/>
      <c r="C788" s="266"/>
      <c r="D788" s="266"/>
      <c r="E788" s="266"/>
      <c r="F788" s="266"/>
      <c r="G788" s="266"/>
      <c r="H788" s="266"/>
      <c r="I788" s="266"/>
      <c r="J788" s="266"/>
      <c r="K788" s="266"/>
      <c r="L788" s="266"/>
      <c r="M788" s="266"/>
      <c r="N788" s="266"/>
      <c r="O788" s="266"/>
      <c r="P788" s="266"/>
      <c r="Q788" s="266"/>
      <c r="R788" s="266"/>
      <c r="S788" s="216"/>
      <c r="T788" s="216"/>
      <c r="U788" s="217"/>
      <c r="V788" s="216"/>
      <c r="W788" s="216"/>
      <c r="X788" s="216"/>
      <c r="Y788" s="216"/>
      <c r="Z788" s="216"/>
      <c r="AA788" s="216"/>
      <c r="AB788" s="216"/>
      <c r="AC788" s="216"/>
      <c r="AD788" s="216"/>
      <c r="AE788" s="216"/>
      <c r="AF788" s="216"/>
      <c r="AG788" s="216"/>
      <c r="AH788" s="216"/>
      <c r="AI788" s="216"/>
      <c r="AJ788" s="216"/>
      <c r="AK788" s="216"/>
      <c r="AL788" s="216"/>
      <c r="AM788" s="216"/>
      <c r="AN788" s="216"/>
    </row>
    <row r="789">
      <c r="B789" s="267"/>
      <c r="C789" s="266"/>
      <c r="D789" s="266"/>
      <c r="E789" s="266"/>
      <c r="F789" s="266"/>
      <c r="G789" s="266"/>
      <c r="H789" s="266"/>
      <c r="I789" s="266"/>
      <c r="J789" s="266"/>
      <c r="K789" s="266"/>
      <c r="L789" s="266"/>
      <c r="M789" s="266"/>
      <c r="N789" s="266"/>
      <c r="O789" s="266"/>
      <c r="P789" s="266"/>
      <c r="Q789" s="266"/>
      <c r="R789" s="266"/>
      <c r="S789" s="216"/>
      <c r="T789" s="216"/>
      <c r="U789" s="217"/>
      <c r="V789" s="216"/>
      <c r="W789" s="216"/>
      <c r="X789" s="216"/>
      <c r="Y789" s="216"/>
      <c r="Z789" s="216"/>
      <c r="AA789" s="216"/>
      <c r="AB789" s="216"/>
      <c r="AC789" s="216"/>
      <c r="AD789" s="216"/>
      <c r="AE789" s="216"/>
      <c r="AF789" s="216"/>
      <c r="AG789" s="216"/>
      <c r="AH789" s="216"/>
      <c r="AI789" s="216"/>
      <c r="AJ789" s="216"/>
      <c r="AK789" s="216"/>
      <c r="AL789" s="216"/>
      <c r="AM789" s="216"/>
      <c r="AN789" s="216"/>
    </row>
    <row r="790">
      <c r="B790" s="267"/>
      <c r="C790" s="266"/>
      <c r="D790" s="266"/>
      <c r="E790" s="266"/>
      <c r="F790" s="266"/>
      <c r="G790" s="266"/>
      <c r="H790" s="266"/>
      <c r="I790" s="266"/>
      <c r="J790" s="266"/>
      <c r="K790" s="266"/>
      <c r="L790" s="266"/>
      <c r="M790" s="266"/>
      <c r="N790" s="266"/>
      <c r="O790" s="266"/>
      <c r="P790" s="266"/>
      <c r="Q790" s="266"/>
      <c r="R790" s="266"/>
      <c r="S790" s="216"/>
      <c r="T790" s="216"/>
      <c r="U790" s="217"/>
      <c r="V790" s="216"/>
      <c r="W790" s="216"/>
      <c r="X790" s="216"/>
      <c r="Y790" s="216"/>
      <c r="Z790" s="216"/>
      <c r="AA790" s="216"/>
      <c r="AB790" s="216"/>
      <c r="AC790" s="216"/>
      <c r="AD790" s="216"/>
      <c r="AE790" s="216"/>
      <c r="AF790" s="216"/>
      <c r="AG790" s="216"/>
      <c r="AH790" s="216"/>
      <c r="AI790" s="216"/>
      <c r="AJ790" s="216"/>
      <c r="AK790" s="216"/>
      <c r="AL790" s="216"/>
      <c r="AM790" s="216"/>
      <c r="AN790" s="216"/>
    </row>
    <row r="791">
      <c r="B791" s="267"/>
      <c r="C791" s="266"/>
      <c r="D791" s="266"/>
      <c r="E791" s="266"/>
      <c r="F791" s="266"/>
      <c r="G791" s="266"/>
      <c r="H791" s="266"/>
      <c r="I791" s="266"/>
      <c r="J791" s="266"/>
      <c r="K791" s="266"/>
      <c r="L791" s="266"/>
      <c r="M791" s="266"/>
      <c r="N791" s="266"/>
      <c r="O791" s="266"/>
      <c r="P791" s="266"/>
      <c r="Q791" s="266"/>
      <c r="R791" s="266"/>
      <c r="S791" s="216"/>
      <c r="T791" s="216"/>
      <c r="U791" s="217"/>
      <c r="V791" s="216"/>
      <c r="W791" s="216"/>
      <c r="X791" s="216"/>
      <c r="Y791" s="216"/>
      <c r="Z791" s="216"/>
      <c r="AA791" s="216"/>
      <c r="AB791" s="216"/>
      <c r="AC791" s="216"/>
      <c r="AD791" s="216"/>
      <c r="AE791" s="216"/>
      <c r="AF791" s="216"/>
      <c r="AG791" s="216"/>
      <c r="AH791" s="216"/>
      <c r="AI791" s="216"/>
      <c r="AJ791" s="216"/>
      <c r="AK791" s="216"/>
      <c r="AL791" s="216"/>
      <c r="AM791" s="216"/>
      <c r="AN791" s="216"/>
    </row>
    <row r="792">
      <c r="B792" s="267"/>
      <c r="C792" s="266"/>
      <c r="D792" s="266"/>
      <c r="E792" s="266"/>
      <c r="F792" s="266"/>
      <c r="G792" s="266"/>
      <c r="H792" s="266"/>
      <c r="I792" s="266"/>
      <c r="J792" s="266"/>
      <c r="K792" s="266"/>
      <c r="L792" s="266"/>
      <c r="M792" s="266"/>
      <c r="N792" s="266"/>
      <c r="O792" s="266"/>
      <c r="P792" s="266"/>
      <c r="Q792" s="266"/>
      <c r="R792" s="266"/>
      <c r="S792" s="216"/>
      <c r="T792" s="216"/>
      <c r="U792" s="217"/>
      <c r="V792" s="216"/>
      <c r="W792" s="216"/>
      <c r="X792" s="216"/>
      <c r="Y792" s="216"/>
      <c r="Z792" s="216"/>
      <c r="AA792" s="216"/>
      <c r="AB792" s="216"/>
      <c r="AC792" s="216"/>
      <c r="AD792" s="216"/>
      <c r="AE792" s="216"/>
      <c r="AF792" s="216"/>
      <c r="AG792" s="216"/>
      <c r="AH792" s="216"/>
      <c r="AI792" s="216"/>
      <c r="AJ792" s="216"/>
      <c r="AK792" s="216"/>
      <c r="AL792" s="216"/>
      <c r="AM792" s="216"/>
      <c r="AN792" s="216"/>
    </row>
    <row r="793">
      <c r="B793" s="267"/>
      <c r="C793" s="266"/>
      <c r="D793" s="266"/>
      <c r="E793" s="266"/>
      <c r="F793" s="266"/>
      <c r="G793" s="266"/>
      <c r="H793" s="266"/>
      <c r="I793" s="266"/>
      <c r="J793" s="266"/>
      <c r="K793" s="266"/>
      <c r="L793" s="266"/>
      <c r="M793" s="266"/>
      <c r="N793" s="266"/>
      <c r="O793" s="266"/>
      <c r="P793" s="266"/>
      <c r="Q793" s="266"/>
      <c r="R793" s="266"/>
      <c r="S793" s="216"/>
      <c r="T793" s="216"/>
      <c r="U793" s="217"/>
      <c r="V793" s="216"/>
      <c r="W793" s="216"/>
      <c r="X793" s="216"/>
      <c r="Y793" s="216"/>
      <c r="Z793" s="216"/>
      <c r="AA793" s="216"/>
      <c r="AB793" s="216"/>
      <c r="AC793" s="216"/>
      <c r="AD793" s="216"/>
      <c r="AE793" s="216"/>
      <c r="AF793" s="216"/>
      <c r="AG793" s="216"/>
      <c r="AH793" s="216"/>
      <c r="AI793" s="216"/>
      <c r="AJ793" s="216"/>
      <c r="AK793" s="216"/>
      <c r="AL793" s="216"/>
      <c r="AM793" s="216"/>
      <c r="AN793" s="216"/>
    </row>
    <row r="794">
      <c r="B794" s="267"/>
      <c r="C794" s="266"/>
      <c r="D794" s="266"/>
      <c r="E794" s="266"/>
      <c r="F794" s="266"/>
      <c r="G794" s="266"/>
      <c r="H794" s="266"/>
      <c r="I794" s="266"/>
      <c r="J794" s="266"/>
      <c r="K794" s="266"/>
      <c r="L794" s="266"/>
      <c r="M794" s="266"/>
      <c r="N794" s="266"/>
      <c r="O794" s="266"/>
      <c r="P794" s="266"/>
      <c r="Q794" s="266"/>
      <c r="R794" s="266"/>
      <c r="S794" s="216"/>
      <c r="T794" s="216"/>
      <c r="U794" s="217"/>
      <c r="V794" s="216"/>
      <c r="W794" s="216"/>
      <c r="X794" s="216"/>
      <c r="Y794" s="216"/>
      <c r="Z794" s="216"/>
      <c r="AA794" s="216"/>
      <c r="AB794" s="216"/>
      <c r="AC794" s="216"/>
      <c r="AD794" s="216"/>
      <c r="AE794" s="216"/>
      <c r="AF794" s="216"/>
      <c r="AG794" s="216"/>
      <c r="AH794" s="216"/>
      <c r="AI794" s="216"/>
      <c r="AJ794" s="216"/>
      <c r="AK794" s="216"/>
      <c r="AL794" s="216"/>
      <c r="AM794" s="216"/>
      <c r="AN794" s="216"/>
    </row>
    <row r="795">
      <c r="B795" s="267"/>
      <c r="C795" s="266"/>
      <c r="D795" s="266"/>
      <c r="E795" s="266"/>
      <c r="F795" s="266"/>
      <c r="G795" s="266"/>
      <c r="H795" s="266"/>
      <c r="I795" s="266"/>
      <c r="J795" s="266"/>
      <c r="K795" s="266"/>
      <c r="L795" s="266"/>
      <c r="M795" s="266"/>
      <c r="N795" s="266"/>
      <c r="O795" s="266"/>
      <c r="P795" s="266"/>
      <c r="Q795" s="266"/>
      <c r="R795" s="266"/>
      <c r="S795" s="216"/>
      <c r="T795" s="216"/>
      <c r="U795" s="217"/>
      <c r="V795" s="216"/>
      <c r="W795" s="216"/>
      <c r="X795" s="216"/>
      <c r="Y795" s="216"/>
      <c r="Z795" s="216"/>
      <c r="AA795" s="216"/>
      <c r="AB795" s="216"/>
      <c r="AC795" s="216"/>
      <c r="AD795" s="216"/>
      <c r="AE795" s="216"/>
      <c r="AF795" s="216"/>
      <c r="AG795" s="216"/>
      <c r="AH795" s="216"/>
      <c r="AI795" s="216"/>
      <c r="AJ795" s="216"/>
      <c r="AK795" s="216"/>
      <c r="AL795" s="216"/>
      <c r="AM795" s="216"/>
      <c r="AN795" s="216"/>
    </row>
    <row r="796">
      <c r="B796" s="267"/>
      <c r="C796" s="266"/>
      <c r="D796" s="266"/>
      <c r="E796" s="266"/>
      <c r="F796" s="266"/>
      <c r="G796" s="266"/>
      <c r="H796" s="266"/>
      <c r="I796" s="266"/>
      <c r="J796" s="266"/>
      <c r="K796" s="266"/>
      <c r="L796" s="266"/>
      <c r="M796" s="266"/>
      <c r="N796" s="266"/>
      <c r="O796" s="266"/>
      <c r="P796" s="266"/>
      <c r="Q796" s="266"/>
      <c r="R796" s="266"/>
      <c r="S796" s="216"/>
      <c r="T796" s="216"/>
      <c r="U796" s="217"/>
      <c r="V796" s="216"/>
      <c r="W796" s="216"/>
      <c r="X796" s="216"/>
      <c r="Y796" s="216"/>
      <c r="Z796" s="216"/>
      <c r="AA796" s="216"/>
      <c r="AB796" s="216"/>
      <c r="AC796" s="216"/>
      <c r="AD796" s="216"/>
      <c r="AE796" s="216"/>
      <c r="AF796" s="216"/>
      <c r="AG796" s="216"/>
      <c r="AH796" s="216"/>
      <c r="AI796" s="216"/>
      <c r="AJ796" s="216"/>
      <c r="AK796" s="216"/>
      <c r="AL796" s="216"/>
      <c r="AM796" s="216"/>
      <c r="AN796" s="216"/>
    </row>
    <row r="797">
      <c r="B797" s="267"/>
      <c r="C797" s="266"/>
      <c r="D797" s="266"/>
      <c r="E797" s="266"/>
      <c r="F797" s="266"/>
      <c r="G797" s="266"/>
      <c r="H797" s="266"/>
      <c r="I797" s="266"/>
      <c r="J797" s="266"/>
      <c r="K797" s="266"/>
      <c r="L797" s="266"/>
      <c r="M797" s="266"/>
      <c r="N797" s="266"/>
      <c r="O797" s="266"/>
      <c r="P797" s="266"/>
      <c r="Q797" s="266"/>
      <c r="R797" s="266"/>
      <c r="S797" s="216"/>
      <c r="T797" s="216"/>
      <c r="U797" s="217"/>
      <c r="V797" s="216"/>
      <c r="W797" s="216"/>
      <c r="X797" s="216"/>
      <c r="Y797" s="216"/>
      <c r="Z797" s="216"/>
      <c r="AA797" s="216"/>
      <c r="AB797" s="216"/>
      <c r="AC797" s="216"/>
      <c r="AD797" s="216"/>
      <c r="AE797" s="216"/>
      <c r="AF797" s="216"/>
      <c r="AG797" s="216"/>
      <c r="AH797" s="216"/>
      <c r="AI797" s="216"/>
      <c r="AJ797" s="216"/>
      <c r="AK797" s="216"/>
      <c r="AL797" s="216"/>
      <c r="AM797" s="216"/>
      <c r="AN797" s="216"/>
    </row>
    <row r="798">
      <c r="B798" s="267"/>
      <c r="C798" s="266"/>
      <c r="D798" s="266"/>
      <c r="E798" s="266"/>
      <c r="F798" s="266"/>
      <c r="G798" s="266"/>
      <c r="H798" s="266"/>
      <c r="I798" s="266"/>
      <c r="J798" s="266"/>
      <c r="K798" s="266"/>
      <c r="L798" s="266"/>
      <c r="M798" s="266"/>
      <c r="N798" s="266"/>
      <c r="O798" s="266"/>
      <c r="P798" s="266"/>
      <c r="Q798" s="266"/>
      <c r="R798" s="266"/>
      <c r="S798" s="216"/>
      <c r="T798" s="216"/>
      <c r="U798" s="217"/>
      <c r="V798" s="216"/>
      <c r="W798" s="216"/>
      <c r="X798" s="216"/>
      <c r="Y798" s="216"/>
      <c r="Z798" s="216"/>
      <c r="AA798" s="216"/>
      <c r="AB798" s="216"/>
      <c r="AC798" s="216"/>
      <c r="AD798" s="216"/>
      <c r="AE798" s="216"/>
      <c r="AF798" s="216"/>
      <c r="AG798" s="216"/>
      <c r="AH798" s="216"/>
      <c r="AI798" s="216"/>
      <c r="AJ798" s="216"/>
      <c r="AK798" s="216"/>
      <c r="AL798" s="216"/>
      <c r="AM798" s="216"/>
      <c r="AN798" s="216"/>
    </row>
    <row r="799">
      <c r="B799" s="267"/>
      <c r="C799" s="266"/>
      <c r="D799" s="266"/>
      <c r="E799" s="266"/>
      <c r="F799" s="266"/>
      <c r="G799" s="266"/>
      <c r="H799" s="266"/>
      <c r="I799" s="266"/>
      <c r="J799" s="266"/>
      <c r="K799" s="266"/>
      <c r="L799" s="266"/>
      <c r="M799" s="266"/>
      <c r="N799" s="266"/>
      <c r="O799" s="266"/>
      <c r="P799" s="266"/>
      <c r="Q799" s="266"/>
      <c r="R799" s="266"/>
      <c r="S799" s="216"/>
      <c r="T799" s="216"/>
      <c r="U799" s="217"/>
      <c r="V799" s="216"/>
      <c r="W799" s="216"/>
      <c r="X799" s="216"/>
      <c r="Y799" s="216"/>
      <c r="Z799" s="216"/>
      <c r="AA799" s="216"/>
      <c r="AB799" s="216"/>
      <c r="AC799" s="216"/>
      <c r="AD799" s="216"/>
      <c r="AE799" s="216"/>
      <c r="AF799" s="216"/>
      <c r="AG799" s="216"/>
      <c r="AH799" s="216"/>
      <c r="AI799" s="216"/>
      <c r="AJ799" s="216"/>
      <c r="AK799" s="216"/>
      <c r="AL799" s="216"/>
      <c r="AM799" s="216"/>
      <c r="AN799" s="216"/>
    </row>
    <row r="800">
      <c r="B800" s="267"/>
      <c r="C800" s="266"/>
      <c r="D800" s="266"/>
      <c r="E800" s="266"/>
      <c r="F800" s="266"/>
      <c r="G800" s="266"/>
      <c r="H800" s="266"/>
      <c r="I800" s="266"/>
      <c r="J800" s="266"/>
      <c r="K800" s="266"/>
      <c r="L800" s="266"/>
      <c r="M800" s="266"/>
      <c r="N800" s="266"/>
      <c r="O800" s="266"/>
      <c r="P800" s="266"/>
      <c r="Q800" s="266"/>
      <c r="R800" s="266"/>
      <c r="S800" s="216"/>
      <c r="T800" s="216"/>
      <c r="U800" s="217"/>
      <c r="V800" s="216"/>
      <c r="W800" s="216"/>
      <c r="X800" s="216"/>
      <c r="Y800" s="216"/>
      <c r="Z800" s="216"/>
      <c r="AA800" s="216"/>
      <c r="AB800" s="216"/>
      <c r="AC800" s="216"/>
      <c r="AD800" s="216"/>
      <c r="AE800" s="216"/>
      <c r="AF800" s="216"/>
      <c r="AG800" s="216"/>
      <c r="AH800" s="216"/>
      <c r="AI800" s="216"/>
      <c r="AJ800" s="216"/>
      <c r="AK800" s="216"/>
      <c r="AL800" s="216"/>
      <c r="AM800" s="216"/>
      <c r="AN800" s="216"/>
    </row>
    <row r="801">
      <c r="B801" s="267"/>
      <c r="C801" s="266"/>
      <c r="D801" s="266"/>
      <c r="E801" s="266"/>
      <c r="F801" s="266"/>
      <c r="G801" s="266"/>
      <c r="H801" s="266"/>
      <c r="I801" s="266"/>
      <c r="J801" s="266"/>
      <c r="K801" s="266"/>
      <c r="L801" s="266"/>
      <c r="M801" s="266"/>
      <c r="N801" s="266"/>
      <c r="O801" s="266"/>
      <c r="P801" s="266"/>
      <c r="Q801" s="266"/>
      <c r="R801" s="266"/>
      <c r="S801" s="216"/>
      <c r="T801" s="216"/>
      <c r="U801" s="217"/>
      <c r="V801" s="216"/>
      <c r="W801" s="216"/>
      <c r="X801" s="216"/>
      <c r="Y801" s="216"/>
      <c r="Z801" s="216"/>
      <c r="AA801" s="216"/>
      <c r="AB801" s="216"/>
      <c r="AC801" s="216"/>
      <c r="AD801" s="216"/>
      <c r="AE801" s="216"/>
      <c r="AF801" s="216"/>
      <c r="AG801" s="216"/>
      <c r="AH801" s="216"/>
      <c r="AI801" s="216"/>
      <c r="AJ801" s="216"/>
      <c r="AK801" s="216"/>
      <c r="AL801" s="216"/>
      <c r="AM801" s="216"/>
      <c r="AN801" s="216"/>
    </row>
    <row r="802">
      <c r="B802" s="267"/>
      <c r="C802" s="266"/>
      <c r="D802" s="266"/>
      <c r="E802" s="266"/>
      <c r="F802" s="266"/>
      <c r="G802" s="266"/>
      <c r="H802" s="266"/>
      <c r="I802" s="266"/>
      <c r="J802" s="266"/>
      <c r="K802" s="266"/>
      <c r="L802" s="266"/>
      <c r="M802" s="266"/>
      <c r="N802" s="266"/>
      <c r="O802" s="266"/>
      <c r="P802" s="266"/>
      <c r="Q802" s="266"/>
      <c r="R802" s="266"/>
      <c r="S802" s="216"/>
      <c r="T802" s="216"/>
      <c r="U802" s="217"/>
      <c r="V802" s="216"/>
      <c r="W802" s="216"/>
      <c r="X802" s="216"/>
      <c r="Y802" s="216"/>
      <c r="Z802" s="216"/>
      <c r="AA802" s="216"/>
      <c r="AB802" s="216"/>
      <c r="AC802" s="216"/>
      <c r="AD802" s="216"/>
      <c r="AE802" s="216"/>
      <c r="AF802" s="216"/>
      <c r="AG802" s="216"/>
      <c r="AH802" s="216"/>
      <c r="AI802" s="216"/>
      <c r="AJ802" s="216"/>
      <c r="AK802" s="216"/>
      <c r="AL802" s="216"/>
      <c r="AM802" s="216"/>
      <c r="AN802" s="216"/>
    </row>
    <row r="803">
      <c r="B803" s="267"/>
      <c r="C803" s="266"/>
      <c r="D803" s="266"/>
      <c r="E803" s="266"/>
      <c r="F803" s="266"/>
      <c r="G803" s="266"/>
      <c r="H803" s="266"/>
      <c r="I803" s="266"/>
      <c r="J803" s="266"/>
      <c r="K803" s="266"/>
      <c r="L803" s="266"/>
      <c r="M803" s="266"/>
      <c r="N803" s="266"/>
      <c r="O803" s="266"/>
      <c r="P803" s="266"/>
      <c r="Q803" s="266"/>
      <c r="R803" s="266"/>
      <c r="S803" s="216"/>
      <c r="T803" s="216"/>
      <c r="U803" s="217"/>
      <c r="V803" s="216"/>
      <c r="W803" s="216"/>
      <c r="X803" s="216"/>
      <c r="Y803" s="216"/>
      <c r="Z803" s="216"/>
      <c r="AA803" s="216"/>
      <c r="AB803" s="216"/>
      <c r="AC803" s="216"/>
      <c r="AD803" s="216"/>
      <c r="AE803" s="216"/>
      <c r="AF803" s="216"/>
      <c r="AG803" s="216"/>
      <c r="AH803" s="216"/>
      <c r="AI803" s="216"/>
      <c r="AJ803" s="216"/>
      <c r="AK803" s="216"/>
      <c r="AL803" s="216"/>
      <c r="AM803" s="216"/>
      <c r="AN803" s="216"/>
    </row>
    <row r="804">
      <c r="B804" s="267"/>
      <c r="C804" s="266"/>
      <c r="D804" s="266"/>
      <c r="E804" s="266"/>
      <c r="F804" s="266"/>
      <c r="G804" s="266"/>
      <c r="H804" s="266"/>
      <c r="I804" s="266"/>
      <c r="J804" s="266"/>
      <c r="K804" s="266"/>
      <c r="L804" s="266"/>
      <c r="M804" s="266"/>
      <c r="N804" s="266"/>
      <c r="O804" s="266"/>
      <c r="P804" s="266"/>
      <c r="Q804" s="266"/>
      <c r="R804" s="266"/>
      <c r="S804" s="216"/>
      <c r="T804" s="216"/>
      <c r="U804" s="217"/>
      <c r="V804" s="216"/>
      <c r="W804" s="216"/>
      <c r="X804" s="216"/>
      <c r="Y804" s="216"/>
      <c r="Z804" s="216"/>
      <c r="AA804" s="216"/>
      <c r="AB804" s="216"/>
      <c r="AC804" s="216"/>
      <c r="AD804" s="216"/>
      <c r="AE804" s="216"/>
      <c r="AF804" s="216"/>
      <c r="AG804" s="216"/>
      <c r="AH804" s="216"/>
      <c r="AI804" s="216"/>
      <c r="AJ804" s="216"/>
      <c r="AK804" s="216"/>
      <c r="AL804" s="216"/>
      <c r="AM804" s="216"/>
      <c r="AN804" s="216"/>
    </row>
    <row r="805">
      <c r="B805" s="267"/>
      <c r="C805" s="266"/>
      <c r="D805" s="266"/>
      <c r="E805" s="266"/>
      <c r="F805" s="266"/>
      <c r="G805" s="266"/>
      <c r="H805" s="266"/>
      <c r="I805" s="266"/>
      <c r="J805" s="266"/>
      <c r="K805" s="266"/>
      <c r="L805" s="266"/>
      <c r="M805" s="266"/>
      <c r="N805" s="266"/>
      <c r="O805" s="266"/>
      <c r="P805" s="266"/>
      <c r="Q805" s="266"/>
      <c r="R805" s="266"/>
      <c r="S805" s="216"/>
      <c r="T805" s="216"/>
      <c r="U805" s="217"/>
      <c r="V805" s="216"/>
      <c r="W805" s="216"/>
      <c r="X805" s="216"/>
      <c r="Y805" s="216"/>
      <c r="Z805" s="216"/>
      <c r="AA805" s="216"/>
      <c r="AB805" s="216"/>
      <c r="AC805" s="216"/>
      <c r="AD805" s="216"/>
      <c r="AE805" s="216"/>
      <c r="AF805" s="216"/>
      <c r="AG805" s="216"/>
      <c r="AH805" s="216"/>
      <c r="AI805" s="216"/>
      <c r="AJ805" s="216"/>
      <c r="AK805" s="216"/>
      <c r="AL805" s="216"/>
      <c r="AM805" s="216"/>
      <c r="AN805" s="216"/>
    </row>
    <row r="806">
      <c r="B806" s="267"/>
      <c r="C806" s="266"/>
      <c r="D806" s="266"/>
      <c r="E806" s="266"/>
      <c r="F806" s="266"/>
      <c r="G806" s="266"/>
      <c r="H806" s="266"/>
      <c r="I806" s="266"/>
      <c r="J806" s="266"/>
      <c r="K806" s="266"/>
      <c r="L806" s="266"/>
      <c r="M806" s="266"/>
      <c r="N806" s="266"/>
      <c r="O806" s="266"/>
      <c r="P806" s="266"/>
      <c r="Q806" s="266"/>
      <c r="R806" s="266"/>
      <c r="S806" s="216"/>
      <c r="T806" s="216"/>
      <c r="U806" s="217"/>
      <c r="V806" s="216"/>
      <c r="W806" s="216"/>
      <c r="X806" s="216"/>
      <c r="Y806" s="216"/>
      <c r="Z806" s="216"/>
      <c r="AA806" s="216"/>
      <c r="AB806" s="216"/>
      <c r="AC806" s="216"/>
      <c r="AD806" s="216"/>
      <c r="AE806" s="216"/>
      <c r="AF806" s="216"/>
      <c r="AG806" s="216"/>
      <c r="AH806" s="216"/>
      <c r="AI806" s="216"/>
      <c r="AJ806" s="216"/>
      <c r="AK806" s="216"/>
      <c r="AL806" s="216"/>
      <c r="AM806" s="216"/>
      <c r="AN806" s="216"/>
    </row>
    <row r="807">
      <c r="B807" s="267"/>
      <c r="C807" s="266"/>
      <c r="D807" s="266"/>
      <c r="E807" s="266"/>
      <c r="F807" s="266"/>
      <c r="G807" s="266"/>
      <c r="H807" s="266"/>
      <c r="I807" s="266"/>
      <c r="J807" s="266"/>
      <c r="K807" s="266"/>
      <c r="L807" s="266"/>
      <c r="M807" s="266"/>
      <c r="N807" s="266"/>
      <c r="O807" s="266"/>
      <c r="P807" s="266"/>
      <c r="Q807" s="266"/>
      <c r="R807" s="266"/>
      <c r="S807" s="216"/>
      <c r="T807" s="216"/>
      <c r="U807" s="217"/>
      <c r="V807" s="216"/>
      <c r="W807" s="216"/>
      <c r="X807" s="216"/>
      <c r="Y807" s="216"/>
      <c r="Z807" s="216"/>
      <c r="AA807" s="216"/>
      <c r="AB807" s="216"/>
      <c r="AC807" s="216"/>
      <c r="AD807" s="216"/>
      <c r="AE807" s="216"/>
      <c r="AF807" s="216"/>
      <c r="AG807" s="216"/>
      <c r="AH807" s="216"/>
      <c r="AI807" s="216"/>
      <c r="AJ807" s="216"/>
      <c r="AK807" s="216"/>
      <c r="AL807" s="216"/>
      <c r="AM807" s="216"/>
      <c r="AN807" s="216"/>
    </row>
    <row r="808">
      <c r="B808" s="267"/>
      <c r="C808" s="266"/>
      <c r="D808" s="266"/>
      <c r="E808" s="266"/>
      <c r="F808" s="266"/>
      <c r="G808" s="266"/>
      <c r="H808" s="266"/>
      <c r="I808" s="266"/>
      <c r="J808" s="266"/>
      <c r="K808" s="266"/>
      <c r="L808" s="266"/>
      <c r="M808" s="266"/>
      <c r="N808" s="266"/>
      <c r="O808" s="266"/>
      <c r="P808" s="266"/>
      <c r="Q808" s="266"/>
      <c r="R808" s="266"/>
      <c r="S808" s="216"/>
      <c r="T808" s="216"/>
      <c r="U808" s="217"/>
      <c r="V808" s="216"/>
      <c r="W808" s="216"/>
      <c r="X808" s="216"/>
      <c r="Y808" s="216"/>
      <c r="Z808" s="216"/>
      <c r="AA808" s="216"/>
      <c r="AB808" s="216"/>
      <c r="AC808" s="216"/>
      <c r="AD808" s="216"/>
      <c r="AE808" s="216"/>
      <c r="AF808" s="216"/>
      <c r="AG808" s="216"/>
      <c r="AH808" s="216"/>
      <c r="AI808" s="216"/>
      <c r="AJ808" s="216"/>
      <c r="AK808" s="216"/>
      <c r="AL808" s="216"/>
      <c r="AM808" s="216"/>
      <c r="AN808" s="216"/>
    </row>
    <row r="809">
      <c r="B809" s="267"/>
      <c r="C809" s="266"/>
      <c r="D809" s="266"/>
      <c r="E809" s="266"/>
      <c r="F809" s="266"/>
      <c r="G809" s="266"/>
      <c r="H809" s="266"/>
      <c r="I809" s="266"/>
      <c r="J809" s="266"/>
      <c r="K809" s="266"/>
      <c r="L809" s="266"/>
      <c r="M809" s="266"/>
      <c r="N809" s="266"/>
      <c r="O809" s="266"/>
      <c r="P809" s="266"/>
      <c r="Q809" s="266"/>
      <c r="R809" s="266"/>
      <c r="S809" s="216"/>
      <c r="T809" s="216"/>
      <c r="U809" s="217"/>
      <c r="V809" s="216"/>
      <c r="W809" s="216"/>
      <c r="X809" s="216"/>
      <c r="Y809" s="216"/>
      <c r="Z809" s="216"/>
      <c r="AA809" s="216"/>
      <c r="AB809" s="216"/>
      <c r="AC809" s="216"/>
      <c r="AD809" s="216"/>
      <c r="AE809" s="216"/>
      <c r="AF809" s="216"/>
      <c r="AG809" s="216"/>
      <c r="AH809" s="216"/>
      <c r="AI809" s="216"/>
      <c r="AJ809" s="216"/>
      <c r="AK809" s="216"/>
      <c r="AL809" s="216"/>
      <c r="AM809" s="216"/>
      <c r="AN809" s="216"/>
    </row>
    <row r="810">
      <c r="B810" s="267"/>
      <c r="C810" s="266"/>
      <c r="D810" s="266"/>
      <c r="E810" s="266"/>
      <c r="F810" s="266"/>
      <c r="G810" s="266"/>
      <c r="H810" s="266"/>
      <c r="I810" s="266"/>
      <c r="J810" s="266"/>
      <c r="K810" s="266"/>
      <c r="L810" s="266"/>
      <c r="M810" s="266"/>
      <c r="N810" s="266"/>
      <c r="O810" s="266"/>
      <c r="P810" s="266"/>
      <c r="Q810" s="266"/>
      <c r="R810" s="266"/>
      <c r="S810" s="216"/>
      <c r="T810" s="216"/>
      <c r="U810" s="217"/>
      <c r="V810" s="216"/>
      <c r="W810" s="216"/>
      <c r="X810" s="216"/>
      <c r="Y810" s="216"/>
      <c r="Z810" s="216"/>
      <c r="AA810" s="216"/>
      <c r="AB810" s="216"/>
      <c r="AC810" s="216"/>
      <c r="AD810" s="216"/>
      <c r="AE810" s="216"/>
      <c r="AF810" s="216"/>
      <c r="AG810" s="216"/>
      <c r="AH810" s="216"/>
      <c r="AI810" s="216"/>
      <c r="AJ810" s="216"/>
      <c r="AK810" s="216"/>
      <c r="AL810" s="216"/>
      <c r="AM810" s="216"/>
      <c r="AN810" s="216"/>
    </row>
    <row r="811">
      <c r="B811" s="267"/>
      <c r="C811" s="266"/>
      <c r="D811" s="266"/>
      <c r="E811" s="266"/>
      <c r="F811" s="266"/>
      <c r="G811" s="266"/>
      <c r="H811" s="266"/>
      <c r="I811" s="266"/>
      <c r="J811" s="266"/>
      <c r="K811" s="266"/>
      <c r="L811" s="266"/>
      <c r="M811" s="266"/>
      <c r="N811" s="266"/>
      <c r="O811" s="266"/>
      <c r="P811" s="266"/>
      <c r="Q811" s="266"/>
      <c r="R811" s="266"/>
      <c r="S811" s="216"/>
      <c r="T811" s="216"/>
      <c r="U811" s="217"/>
      <c r="V811" s="216"/>
      <c r="W811" s="216"/>
      <c r="X811" s="216"/>
      <c r="Y811" s="216"/>
      <c r="Z811" s="216"/>
      <c r="AA811" s="216"/>
      <c r="AB811" s="216"/>
      <c r="AC811" s="216"/>
      <c r="AD811" s="216"/>
      <c r="AE811" s="216"/>
      <c r="AF811" s="216"/>
      <c r="AG811" s="216"/>
      <c r="AH811" s="216"/>
      <c r="AI811" s="216"/>
      <c r="AJ811" s="216"/>
      <c r="AK811" s="216"/>
      <c r="AL811" s="216"/>
      <c r="AM811" s="216"/>
      <c r="AN811" s="216"/>
    </row>
    <row r="812">
      <c r="B812" s="267"/>
      <c r="C812" s="266"/>
      <c r="D812" s="266"/>
      <c r="E812" s="266"/>
      <c r="F812" s="266"/>
      <c r="G812" s="266"/>
      <c r="H812" s="266"/>
      <c r="I812" s="266"/>
      <c r="J812" s="266"/>
      <c r="K812" s="266"/>
      <c r="L812" s="266"/>
      <c r="M812" s="266"/>
      <c r="N812" s="266"/>
      <c r="O812" s="266"/>
      <c r="P812" s="266"/>
      <c r="Q812" s="266"/>
      <c r="R812" s="266"/>
      <c r="S812" s="216"/>
      <c r="T812" s="216"/>
      <c r="U812" s="217"/>
      <c r="V812" s="216"/>
      <c r="W812" s="216"/>
      <c r="X812" s="216"/>
      <c r="Y812" s="216"/>
      <c r="Z812" s="216"/>
      <c r="AA812" s="216"/>
      <c r="AB812" s="216"/>
      <c r="AC812" s="216"/>
      <c r="AD812" s="216"/>
      <c r="AE812" s="216"/>
      <c r="AF812" s="216"/>
      <c r="AG812" s="216"/>
      <c r="AH812" s="216"/>
      <c r="AI812" s="216"/>
      <c r="AJ812" s="216"/>
      <c r="AK812" s="216"/>
      <c r="AL812" s="216"/>
      <c r="AM812" s="216"/>
      <c r="AN812" s="216"/>
    </row>
    <row r="813">
      <c r="B813" s="267"/>
      <c r="C813" s="266"/>
      <c r="D813" s="266"/>
      <c r="E813" s="266"/>
      <c r="F813" s="266"/>
      <c r="G813" s="266"/>
      <c r="H813" s="266"/>
      <c r="I813" s="266"/>
      <c r="J813" s="266"/>
      <c r="K813" s="266"/>
      <c r="L813" s="266"/>
      <c r="M813" s="266"/>
      <c r="N813" s="266"/>
      <c r="O813" s="266"/>
      <c r="P813" s="266"/>
      <c r="Q813" s="266"/>
      <c r="R813" s="266"/>
      <c r="S813" s="216"/>
      <c r="T813" s="216"/>
      <c r="U813" s="217"/>
      <c r="V813" s="216"/>
      <c r="W813" s="216"/>
      <c r="X813" s="216"/>
      <c r="Y813" s="216"/>
      <c r="Z813" s="216"/>
      <c r="AA813" s="216"/>
      <c r="AB813" s="216"/>
      <c r="AC813" s="216"/>
      <c r="AD813" s="216"/>
      <c r="AE813" s="216"/>
      <c r="AF813" s="216"/>
      <c r="AG813" s="216"/>
      <c r="AH813" s="216"/>
      <c r="AI813" s="216"/>
      <c r="AJ813" s="216"/>
      <c r="AK813" s="216"/>
      <c r="AL813" s="216"/>
      <c r="AM813" s="216"/>
      <c r="AN813" s="216"/>
    </row>
    <row r="814">
      <c r="B814" s="267"/>
      <c r="C814" s="266"/>
      <c r="D814" s="266"/>
      <c r="E814" s="266"/>
      <c r="F814" s="266"/>
      <c r="G814" s="266"/>
      <c r="H814" s="266"/>
      <c r="I814" s="266"/>
      <c r="J814" s="266"/>
      <c r="K814" s="266"/>
      <c r="L814" s="266"/>
      <c r="M814" s="266"/>
      <c r="N814" s="266"/>
      <c r="O814" s="266"/>
      <c r="P814" s="266"/>
      <c r="Q814" s="266"/>
      <c r="R814" s="266"/>
      <c r="S814" s="216"/>
      <c r="T814" s="216"/>
      <c r="U814" s="217"/>
      <c r="V814" s="216"/>
      <c r="W814" s="216"/>
      <c r="X814" s="216"/>
      <c r="Y814" s="216"/>
      <c r="Z814" s="216"/>
      <c r="AA814" s="216"/>
      <c r="AB814" s="216"/>
      <c r="AC814" s="216"/>
      <c r="AD814" s="216"/>
      <c r="AE814" s="216"/>
      <c r="AF814" s="216"/>
      <c r="AG814" s="216"/>
      <c r="AH814" s="216"/>
      <c r="AI814" s="216"/>
      <c r="AJ814" s="216"/>
      <c r="AK814" s="216"/>
      <c r="AL814" s="216"/>
      <c r="AM814" s="216"/>
      <c r="AN814" s="216"/>
    </row>
    <row r="815">
      <c r="B815" s="267"/>
      <c r="C815" s="266"/>
      <c r="D815" s="266"/>
      <c r="E815" s="266"/>
      <c r="F815" s="266"/>
      <c r="G815" s="266"/>
      <c r="H815" s="266"/>
      <c r="I815" s="266"/>
      <c r="J815" s="266"/>
      <c r="K815" s="266"/>
      <c r="L815" s="266"/>
      <c r="M815" s="266"/>
      <c r="N815" s="266"/>
      <c r="O815" s="266"/>
      <c r="P815" s="266"/>
      <c r="Q815" s="266"/>
      <c r="R815" s="266"/>
      <c r="S815" s="216"/>
      <c r="T815" s="216"/>
      <c r="U815" s="217"/>
      <c r="V815" s="216"/>
      <c r="W815" s="216"/>
      <c r="X815" s="216"/>
      <c r="Y815" s="216"/>
      <c r="Z815" s="216"/>
      <c r="AA815" s="216"/>
      <c r="AB815" s="216"/>
      <c r="AC815" s="216"/>
      <c r="AD815" s="216"/>
      <c r="AE815" s="216"/>
      <c r="AF815" s="216"/>
      <c r="AG815" s="216"/>
      <c r="AH815" s="216"/>
      <c r="AI815" s="216"/>
      <c r="AJ815" s="216"/>
      <c r="AK815" s="216"/>
      <c r="AL815" s="216"/>
      <c r="AM815" s="216"/>
      <c r="AN815" s="216"/>
    </row>
    <row r="816">
      <c r="B816" s="267"/>
      <c r="C816" s="266"/>
      <c r="D816" s="266"/>
      <c r="E816" s="266"/>
      <c r="F816" s="266"/>
      <c r="G816" s="266"/>
      <c r="H816" s="266"/>
      <c r="I816" s="266"/>
      <c r="J816" s="266"/>
      <c r="K816" s="266"/>
      <c r="L816" s="266"/>
      <c r="M816" s="266"/>
      <c r="N816" s="266"/>
      <c r="O816" s="266"/>
      <c r="P816" s="266"/>
      <c r="Q816" s="266"/>
      <c r="R816" s="266"/>
      <c r="S816" s="216"/>
      <c r="T816" s="216"/>
      <c r="U816" s="217"/>
      <c r="V816" s="216"/>
      <c r="W816" s="216"/>
      <c r="X816" s="216"/>
      <c r="Y816" s="216"/>
      <c r="Z816" s="216"/>
      <c r="AA816" s="216"/>
      <c r="AB816" s="216"/>
      <c r="AC816" s="216"/>
      <c r="AD816" s="216"/>
      <c r="AE816" s="216"/>
      <c r="AF816" s="216"/>
      <c r="AG816" s="216"/>
      <c r="AH816" s="216"/>
      <c r="AI816" s="216"/>
      <c r="AJ816" s="216"/>
      <c r="AK816" s="216"/>
      <c r="AL816" s="216"/>
      <c r="AM816" s="216"/>
      <c r="AN816" s="216"/>
    </row>
    <row r="817">
      <c r="B817" s="267"/>
      <c r="C817" s="266"/>
      <c r="D817" s="266"/>
      <c r="E817" s="266"/>
      <c r="F817" s="266"/>
      <c r="G817" s="266"/>
      <c r="H817" s="266"/>
      <c r="I817" s="266"/>
      <c r="J817" s="266"/>
      <c r="K817" s="266"/>
      <c r="L817" s="266"/>
      <c r="M817" s="266"/>
      <c r="N817" s="266"/>
      <c r="O817" s="266"/>
      <c r="P817" s="266"/>
      <c r="Q817" s="266"/>
      <c r="R817" s="266"/>
      <c r="S817" s="216"/>
      <c r="T817" s="216"/>
      <c r="U817" s="217"/>
      <c r="V817" s="216"/>
      <c r="W817" s="216"/>
      <c r="X817" s="216"/>
      <c r="Y817" s="216"/>
      <c r="Z817" s="216"/>
      <c r="AA817" s="216"/>
      <c r="AB817" s="216"/>
      <c r="AC817" s="216"/>
      <c r="AD817" s="216"/>
      <c r="AE817" s="216"/>
      <c r="AF817" s="216"/>
      <c r="AG817" s="216"/>
      <c r="AH817" s="216"/>
      <c r="AI817" s="216"/>
      <c r="AJ817" s="216"/>
      <c r="AK817" s="216"/>
      <c r="AL817" s="216"/>
      <c r="AM817" s="216"/>
      <c r="AN817" s="216"/>
    </row>
    <row r="818">
      <c r="B818" s="267"/>
      <c r="C818" s="266"/>
      <c r="D818" s="266"/>
      <c r="E818" s="266"/>
      <c r="F818" s="266"/>
      <c r="G818" s="266"/>
      <c r="H818" s="266"/>
      <c r="I818" s="266"/>
      <c r="J818" s="266"/>
      <c r="K818" s="266"/>
      <c r="L818" s="266"/>
      <c r="M818" s="266"/>
      <c r="N818" s="266"/>
      <c r="O818" s="266"/>
      <c r="P818" s="266"/>
      <c r="Q818" s="266"/>
      <c r="R818" s="266"/>
      <c r="S818" s="216"/>
      <c r="T818" s="216"/>
      <c r="U818" s="217"/>
      <c r="V818" s="216"/>
      <c r="W818" s="216"/>
      <c r="X818" s="216"/>
      <c r="Y818" s="216"/>
      <c r="Z818" s="216"/>
      <c r="AA818" s="216"/>
      <c r="AB818" s="216"/>
      <c r="AC818" s="216"/>
      <c r="AD818" s="216"/>
      <c r="AE818" s="216"/>
      <c r="AF818" s="216"/>
      <c r="AG818" s="216"/>
      <c r="AH818" s="216"/>
      <c r="AI818" s="216"/>
      <c r="AJ818" s="216"/>
      <c r="AK818" s="216"/>
      <c r="AL818" s="216"/>
      <c r="AM818" s="216"/>
      <c r="AN818" s="216"/>
    </row>
    <row r="819">
      <c r="B819" s="267"/>
      <c r="C819" s="266"/>
      <c r="D819" s="266"/>
      <c r="E819" s="266"/>
      <c r="F819" s="266"/>
      <c r="G819" s="266"/>
      <c r="H819" s="266"/>
      <c r="I819" s="266"/>
      <c r="J819" s="266"/>
      <c r="K819" s="266"/>
      <c r="L819" s="266"/>
      <c r="M819" s="266"/>
      <c r="N819" s="266"/>
      <c r="O819" s="266"/>
      <c r="P819" s="266"/>
      <c r="Q819" s="266"/>
      <c r="R819" s="266"/>
      <c r="S819" s="216"/>
      <c r="T819" s="216"/>
      <c r="U819" s="217"/>
      <c r="V819" s="216"/>
      <c r="W819" s="216"/>
      <c r="X819" s="216"/>
      <c r="Y819" s="216"/>
      <c r="Z819" s="216"/>
      <c r="AA819" s="216"/>
      <c r="AB819" s="216"/>
      <c r="AC819" s="216"/>
      <c r="AD819" s="216"/>
      <c r="AE819" s="216"/>
      <c r="AF819" s="216"/>
      <c r="AG819" s="216"/>
      <c r="AH819" s="216"/>
      <c r="AI819" s="216"/>
      <c r="AJ819" s="216"/>
      <c r="AK819" s="216"/>
      <c r="AL819" s="216"/>
      <c r="AM819" s="216"/>
      <c r="AN819" s="216"/>
    </row>
    <row r="820">
      <c r="B820" s="267"/>
      <c r="C820" s="266"/>
      <c r="D820" s="266"/>
      <c r="E820" s="266"/>
      <c r="F820" s="266"/>
      <c r="G820" s="266"/>
      <c r="H820" s="266"/>
      <c r="I820" s="266"/>
      <c r="J820" s="266"/>
      <c r="K820" s="266"/>
      <c r="L820" s="266"/>
      <c r="M820" s="266"/>
      <c r="N820" s="266"/>
      <c r="O820" s="266"/>
      <c r="P820" s="266"/>
      <c r="Q820" s="266"/>
      <c r="R820" s="266"/>
      <c r="S820" s="216"/>
      <c r="T820" s="216"/>
      <c r="U820" s="217"/>
      <c r="V820" s="216"/>
      <c r="W820" s="216"/>
      <c r="X820" s="216"/>
      <c r="Y820" s="216"/>
      <c r="Z820" s="216"/>
      <c r="AA820" s="216"/>
      <c r="AB820" s="216"/>
      <c r="AC820" s="216"/>
      <c r="AD820" s="216"/>
      <c r="AE820" s="216"/>
      <c r="AF820" s="216"/>
      <c r="AG820" s="216"/>
      <c r="AH820" s="216"/>
      <c r="AI820" s="216"/>
      <c r="AJ820" s="216"/>
      <c r="AK820" s="216"/>
      <c r="AL820" s="216"/>
      <c r="AM820" s="216"/>
      <c r="AN820" s="216"/>
    </row>
    <row r="821">
      <c r="B821" s="267"/>
      <c r="C821" s="266"/>
      <c r="D821" s="266"/>
      <c r="E821" s="266"/>
      <c r="F821" s="266"/>
      <c r="G821" s="266"/>
      <c r="H821" s="266"/>
      <c r="I821" s="266"/>
      <c r="J821" s="266"/>
      <c r="K821" s="266"/>
      <c r="L821" s="266"/>
      <c r="M821" s="266"/>
      <c r="N821" s="266"/>
      <c r="O821" s="266"/>
      <c r="P821" s="266"/>
      <c r="Q821" s="266"/>
      <c r="R821" s="266"/>
      <c r="S821" s="216"/>
      <c r="T821" s="216"/>
      <c r="U821" s="217"/>
      <c r="V821" s="216"/>
      <c r="W821" s="216"/>
      <c r="X821" s="216"/>
      <c r="Y821" s="216"/>
      <c r="Z821" s="216"/>
      <c r="AA821" s="216"/>
      <c r="AB821" s="216"/>
      <c r="AC821" s="216"/>
      <c r="AD821" s="216"/>
      <c r="AE821" s="216"/>
      <c r="AF821" s="216"/>
      <c r="AG821" s="216"/>
      <c r="AH821" s="216"/>
      <c r="AI821" s="216"/>
      <c r="AJ821" s="216"/>
      <c r="AK821" s="216"/>
      <c r="AL821" s="216"/>
      <c r="AM821" s="216"/>
      <c r="AN821" s="216"/>
    </row>
    <row r="822">
      <c r="B822" s="267"/>
      <c r="C822" s="266"/>
      <c r="D822" s="266"/>
      <c r="E822" s="266"/>
      <c r="F822" s="266"/>
      <c r="G822" s="266"/>
      <c r="H822" s="266"/>
      <c r="I822" s="266"/>
      <c r="J822" s="266"/>
      <c r="K822" s="266"/>
      <c r="L822" s="266"/>
      <c r="M822" s="266"/>
      <c r="N822" s="266"/>
      <c r="O822" s="266"/>
      <c r="P822" s="266"/>
      <c r="Q822" s="266"/>
      <c r="R822" s="266"/>
      <c r="S822" s="216"/>
      <c r="T822" s="216"/>
      <c r="U822" s="217"/>
      <c r="V822" s="216"/>
      <c r="W822" s="216"/>
      <c r="X822" s="216"/>
      <c r="Y822" s="216"/>
      <c r="Z822" s="216"/>
      <c r="AA822" s="216"/>
      <c r="AB822" s="216"/>
      <c r="AC822" s="216"/>
      <c r="AD822" s="216"/>
      <c r="AE822" s="216"/>
      <c r="AF822" s="216"/>
      <c r="AG822" s="216"/>
      <c r="AH822" s="216"/>
      <c r="AI822" s="216"/>
      <c r="AJ822" s="216"/>
      <c r="AK822" s="216"/>
      <c r="AL822" s="216"/>
      <c r="AM822" s="216"/>
      <c r="AN822" s="216"/>
    </row>
    <row r="823">
      <c r="B823" s="267"/>
      <c r="C823" s="266"/>
      <c r="D823" s="266"/>
      <c r="E823" s="266"/>
      <c r="F823" s="266"/>
      <c r="G823" s="266"/>
      <c r="H823" s="266"/>
      <c r="I823" s="266"/>
      <c r="J823" s="266"/>
      <c r="K823" s="266"/>
      <c r="L823" s="266"/>
      <c r="M823" s="266"/>
      <c r="N823" s="266"/>
      <c r="O823" s="266"/>
      <c r="P823" s="266"/>
      <c r="Q823" s="266"/>
      <c r="R823" s="266"/>
      <c r="S823" s="216"/>
      <c r="T823" s="216"/>
      <c r="U823" s="217"/>
      <c r="V823" s="216"/>
      <c r="W823" s="216"/>
      <c r="X823" s="216"/>
      <c r="Y823" s="216"/>
      <c r="Z823" s="216"/>
      <c r="AA823" s="216"/>
      <c r="AB823" s="216"/>
      <c r="AC823" s="216"/>
      <c r="AD823" s="216"/>
      <c r="AE823" s="216"/>
      <c r="AF823" s="216"/>
      <c r="AG823" s="216"/>
      <c r="AH823" s="216"/>
      <c r="AI823" s="216"/>
      <c r="AJ823" s="216"/>
      <c r="AK823" s="216"/>
      <c r="AL823" s="216"/>
      <c r="AM823" s="216"/>
      <c r="AN823" s="216"/>
    </row>
    <row r="824">
      <c r="B824" s="267"/>
      <c r="C824" s="266"/>
      <c r="D824" s="266"/>
      <c r="E824" s="266"/>
      <c r="F824" s="266"/>
      <c r="G824" s="266"/>
      <c r="H824" s="266"/>
      <c r="I824" s="266"/>
      <c r="J824" s="266"/>
      <c r="K824" s="266"/>
      <c r="L824" s="266"/>
      <c r="M824" s="266"/>
      <c r="N824" s="266"/>
      <c r="O824" s="266"/>
      <c r="P824" s="266"/>
      <c r="Q824" s="266"/>
      <c r="R824" s="266"/>
      <c r="S824" s="216"/>
      <c r="T824" s="216"/>
      <c r="U824" s="217"/>
      <c r="V824" s="216"/>
      <c r="W824" s="216"/>
      <c r="X824" s="216"/>
      <c r="Y824" s="216"/>
      <c r="Z824" s="216"/>
      <c r="AA824" s="216"/>
      <c r="AB824" s="216"/>
      <c r="AC824" s="216"/>
      <c r="AD824" s="216"/>
      <c r="AE824" s="216"/>
      <c r="AF824" s="216"/>
      <c r="AG824" s="216"/>
      <c r="AH824" s="216"/>
      <c r="AI824" s="216"/>
      <c r="AJ824" s="216"/>
      <c r="AK824" s="216"/>
      <c r="AL824" s="216"/>
      <c r="AM824" s="216"/>
      <c r="AN824" s="216"/>
    </row>
    <row r="825">
      <c r="B825" s="267"/>
      <c r="C825" s="266"/>
      <c r="D825" s="266"/>
      <c r="E825" s="266"/>
      <c r="F825" s="266"/>
      <c r="G825" s="266"/>
      <c r="H825" s="266"/>
      <c r="I825" s="266"/>
      <c r="J825" s="266"/>
      <c r="K825" s="266"/>
      <c r="L825" s="266"/>
      <c r="M825" s="266"/>
      <c r="N825" s="266"/>
      <c r="O825" s="266"/>
      <c r="P825" s="266"/>
      <c r="Q825" s="266"/>
      <c r="R825" s="266"/>
      <c r="S825" s="216"/>
      <c r="T825" s="216"/>
      <c r="U825" s="217"/>
      <c r="V825" s="216"/>
      <c r="W825" s="216"/>
      <c r="X825" s="216"/>
      <c r="Y825" s="216"/>
      <c r="Z825" s="216"/>
      <c r="AA825" s="216"/>
      <c r="AB825" s="216"/>
      <c r="AC825" s="216"/>
      <c r="AD825" s="216"/>
      <c r="AE825" s="216"/>
      <c r="AF825" s="216"/>
      <c r="AG825" s="216"/>
      <c r="AH825" s="216"/>
      <c r="AI825" s="216"/>
      <c r="AJ825" s="216"/>
      <c r="AK825" s="216"/>
      <c r="AL825" s="216"/>
      <c r="AM825" s="216"/>
      <c r="AN825" s="216"/>
    </row>
    <row r="826">
      <c r="B826" s="267"/>
      <c r="C826" s="266"/>
      <c r="D826" s="266"/>
      <c r="E826" s="266"/>
      <c r="F826" s="266"/>
      <c r="G826" s="266"/>
      <c r="H826" s="266"/>
      <c r="I826" s="266"/>
      <c r="J826" s="266"/>
      <c r="K826" s="266"/>
      <c r="L826" s="266"/>
      <c r="M826" s="266"/>
      <c r="N826" s="266"/>
      <c r="O826" s="266"/>
      <c r="P826" s="266"/>
      <c r="Q826" s="266"/>
      <c r="R826" s="266"/>
      <c r="S826" s="216"/>
      <c r="T826" s="216"/>
      <c r="U826" s="217"/>
      <c r="V826" s="216"/>
      <c r="W826" s="216"/>
      <c r="X826" s="216"/>
      <c r="Y826" s="216"/>
      <c r="Z826" s="216"/>
      <c r="AA826" s="216"/>
      <c r="AB826" s="216"/>
      <c r="AC826" s="216"/>
      <c r="AD826" s="216"/>
      <c r="AE826" s="216"/>
      <c r="AF826" s="216"/>
      <c r="AG826" s="216"/>
      <c r="AH826" s="216"/>
      <c r="AI826" s="216"/>
      <c r="AJ826" s="216"/>
      <c r="AK826" s="216"/>
      <c r="AL826" s="216"/>
      <c r="AM826" s="216"/>
      <c r="AN826" s="216"/>
    </row>
    <row r="827">
      <c r="B827" s="267"/>
      <c r="C827" s="266"/>
      <c r="D827" s="266"/>
      <c r="E827" s="266"/>
      <c r="F827" s="266"/>
      <c r="G827" s="266"/>
      <c r="H827" s="266"/>
      <c r="I827" s="266"/>
      <c r="J827" s="266"/>
      <c r="K827" s="266"/>
      <c r="L827" s="266"/>
      <c r="M827" s="266"/>
      <c r="N827" s="266"/>
      <c r="O827" s="266"/>
      <c r="P827" s="266"/>
      <c r="Q827" s="266"/>
      <c r="R827" s="266"/>
      <c r="S827" s="216"/>
      <c r="T827" s="216"/>
      <c r="U827" s="217"/>
      <c r="V827" s="216"/>
      <c r="W827" s="216"/>
      <c r="X827" s="216"/>
      <c r="Y827" s="216"/>
      <c r="Z827" s="216"/>
      <c r="AA827" s="216"/>
      <c r="AB827" s="216"/>
      <c r="AC827" s="216"/>
      <c r="AD827" s="216"/>
      <c r="AE827" s="216"/>
      <c r="AF827" s="216"/>
      <c r="AG827" s="216"/>
      <c r="AH827" s="216"/>
      <c r="AI827" s="216"/>
      <c r="AJ827" s="216"/>
      <c r="AK827" s="216"/>
      <c r="AL827" s="216"/>
      <c r="AM827" s="216"/>
      <c r="AN827" s="216"/>
    </row>
    <row r="828">
      <c r="B828" s="267"/>
      <c r="C828" s="266"/>
      <c r="D828" s="266"/>
      <c r="E828" s="266"/>
      <c r="F828" s="266"/>
      <c r="G828" s="266"/>
      <c r="H828" s="266"/>
      <c r="I828" s="266"/>
      <c r="J828" s="266"/>
      <c r="K828" s="266"/>
      <c r="L828" s="266"/>
      <c r="M828" s="266"/>
      <c r="N828" s="266"/>
      <c r="O828" s="266"/>
      <c r="P828" s="266"/>
      <c r="Q828" s="266"/>
      <c r="R828" s="266"/>
      <c r="S828" s="216"/>
      <c r="T828" s="216"/>
      <c r="U828" s="217"/>
      <c r="V828" s="216"/>
      <c r="W828" s="216"/>
      <c r="X828" s="216"/>
      <c r="Y828" s="216"/>
      <c r="Z828" s="216"/>
      <c r="AA828" s="216"/>
      <c r="AB828" s="216"/>
      <c r="AC828" s="216"/>
      <c r="AD828" s="216"/>
      <c r="AE828" s="216"/>
      <c r="AF828" s="216"/>
      <c r="AG828" s="216"/>
      <c r="AH828" s="216"/>
      <c r="AI828" s="216"/>
      <c r="AJ828" s="216"/>
      <c r="AK828" s="216"/>
      <c r="AL828" s="216"/>
      <c r="AM828" s="216"/>
      <c r="AN828" s="216"/>
    </row>
    <row r="829">
      <c r="B829" s="267"/>
      <c r="C829" s="266"/>
      <c r="D829" s="266"/>
      <c r="E829" s="266"/>
      <c r="F829" s="266"/>
      <c r="G829" s="266"/>
      <c r="H829" s="266"/>
      <c r="I829" s="266"/>
      <c r="J829" s="266"/>
      <c r="K829" s="266"/>
      <c r="L829" s="266"/>
      <c r="M829" s="266"/>
      <c r="N829" s="266"/>
      <c r="O829" s="266"/>
      <c r="P829" s="266"/>
      <c r="Q829" s="266"/>
      <c r="R829" s="266"/>
      <c r="S829" s="216"/>
      <c r="T829" s="216"/>
      <c r="U829" s="217"/>
      <c r="V829" s="216"/>
      <c r="W829" s="216"/>
      <c r="X829" s="216"/>
      <c r="Y829" s="216"/>
      <c r="Z829" s="216"/>
      <c r="AA829" s="216"/>
      <c r="AB829" s="216"/>
      <c r="AC829" s="216"/>
      <c r="AD829" s="216"/>
      <c r="AE829" s="216"/>
      <c r="AF829" s="216"/>
      <c r="AG829" s="216"/>
      <c r="AH829" s="216"/>
      <c r="AI829" s="216"/>
      <c r="AJ829" s="216"/>
      <c r="AK829" s="216"/>
      <c r="AL829" s="216"/>
      <c r="AM829" s="216"/>
      <c r="AN829" s="216"/>
    </row>
    <row r="830">
      <c r="B830" s="267"/>
      <c r="C830" s="266"/>
      <c r="D830" s="266"/>
      <c r="E830" s="266"/>
      <c r="F830" s="266"/>
      <c r="G830" s="266"/>
      <c r="H830" s="266"/>
      <c r="I830" s="266"/>
      <c r="J830" s="266"/>
      <c r="K830" s="266"/>
      <c r="L830" s="266"/>
      <c r="M830" s="266"/>
      <c r="N830" s="266"/>
      <c r="O830" s="266"/>
      <c r="P830" s="266"/>
      <c r="Q830" s="266"/>
      <c r="R830" s="266"/>
      <c r="S830" s="216"/>
      <c r="T830" s="216"/>
      <c r="U830" s="217"/>
      <c r="V830" s="216"/>
      <c r="W830" s="216"/>
      <c r="X830" s="216"/>
      <c r="Y830" s="216"/>
      <c r="Z830" s="216"/>
      <c r="AA830" s="216"/>
      <c r="AB830" s="216"/>
      <c r="AC830" s="216"/>
      <c r="AD830" s="216"/>
      <c r="AE830" s="216"/>
      <c r="AF830" s="216"/>
      <c r="AG830" s="216"/>
      <c r="AH830" s="216"/>
      <c r="AI830" s="216"/>
      <c r="AJ830" s="216"/>
      <c r="AK830" s="216"/>
      <c r="AL830" s="216"/>
      <c r="AM830" s="216"/>
      <c r="AN830" s="216"/>
    </row>
    <row r="831">
      <c r="B831" s="267"/>
      <c r="C831" s="266"/>
      <c r="D831" s="266"/>
      <c r="E831" s="266"/>
      <c r="F831" s="266"/>
      <c r="G831" s="266"/>
      <c r="H831" s="266"/>
      <c r="I831" s="266"/>
      <c r="J831" s="266"/>
      <c r="K831" s="266"/>
      <c r="L831" s="266"/>
      <c r="M831" s="266"/>
      <c r="N831" s="266"/>
      <c r="O831" s="266"/>
      <c r="P831" s="266"/>
      <c r="Q831" s="266"/>
      <c r="R831" s="266"/>
      <c r="S831" s="216"/>
      <c r="T831" s="216"/>
      <c r="U831" s="217"/>
      <c r="V831" s="216"/>
      <c r="W831" s="216"/>
      <c r="X831" s="216"/>
      <c r="Y831" s="216"/>
      <c r="Z831" s="216"/>
      <c r="AA831" s="216"/>
      <c r="AB831" s="216"/>
      <c r="AC831" s="216"/>
      <c r="AD831" s="216"/>
      <c r="AE831" s="216"/>
      <c r="AF831" s="216"/>
      <c r="AG831" s="216"/>
      <c r="AH831" s="216"/>
      <c r="AI831" s="216"/>
      <c r="AJ831" s="216"/>
      <c r="AK831" s="216"/>
      <c r="AL831" s="216"/>
      <c r="AM831" s="216"/>
      <c r="AN831" s="216"/>
    </row>
    <row r="832">
      <c r="B832" s="267"/>
      <c r="C832" s="266"/>
      <c r="D832" s="266"/>
      <c r="E832" s="266"/>
      <c r="F832" s="266"/>
      <c r="G832" s="266"/>
      <c r="H832" s="266"/>
      <c r="I832" s="266"/>
      <c r="J832" s="266"/>
      <c r="K832" s="266"/>
      <c r="L832" s="266"/>
      <c r="M832" s="266"/>
      <c r="N832" s="266"/>
      <c r="O832" s="266"/>
      <c r="P832" s="266"/>
      <c r="Q832" s="266"/>
      <c r="R832" s="266"/>
      <c r="S832" s="216"/>
      <c r="T832" s="216"/>
      <c r="U832" s="217"/>
      <c r="V832" s="216"/>
      <c r="W832" s="216"/>
      <c r="X832" s="216"/>
      <c r="Y832" s="216"/>
      <c r="Z832" s="216"/>
      <c r="AA832" s="216"/>
      <c r="AB832" s="216"/>
      <c r="AC832" s="216"/>
      <c r="AD832" s="216"/>
      <c r="AE832" s="216"/>
      <c r="AF832" s="216"/>
      <c r="AG832" s="216"/>
      <c r="AH832" s="216"/>
      <c r="AI832" s="216"/>
      <c r="AJ832" s="216"/>
      <c r="AK832" s="216"/>
      <c r="AL832" s="216"/>
      <c r="AM832" s="216"/>
      <c r="AN832" s="216"/>
    </row>
    <row r="833">
      <c r="B833" s="267"/>
      <c r="C833" s="266"/>
      <c r="D833" s="266"/>
      <c r="E833" s="266"/>
      <c r="F833" s="266"/>
      <c r="G833" s="266"/>
      <c r="H833" s="266"/>
      <c r="I833" s="266"/>
      <c r="J833" s="266"/>
      <c r="K833" s="266"/>
      <c r="L833" s="266"/>
      <c r="M833" s="266"/>
      <c r="N833" s="266"/>
      <c r="O833" s="266"/>
      <c r="P833" s="266"/>
      <c r="Q833" s="266"/>
      <c r="R833" s="266"/>
      <c r="S833" s="216"/>
      <c r="T833" s="216"/>
      <c r="U833" s="217"/>
      <c r="V833" s="216"/>
      <c r="W833" s="216"/>
      <c r="X833" s="216"/>
      <c r="Y833" s="216"/>
      <c r="Z833" s="216"/>
      <c r="AA833" s="216"/>
      <c r="AB833" s="216"/>
      <c r="AC833" s="216"/>
      <c r="AD833" s="216"/>
      <c r="AE833" s="216"/>
      <c r="AF833" s="216"/>
      <c r="AG833" s="216"/>
      <c r="AH833" s="216"/>
      <c r="AI833" s="216"/>
      <c r="AJ833" s="216"/>
      <c r="AK833" s="216"/>
      <c r="AL833" s="216"/>
      <c r="AM833" s="216"/>
      <c r="AN833" s="216"/>
    </row>
    <row r="834">
      <c r="B834" s="267"/>
      <c r="C834" s="266"/>
      <c r="D834" s="266"/>
      <c r="E834" s="266"/>
      <c r="F834" s="266"/>
      <c r="G834" s="266"/>
      <c r="H834" s="266"/>
      <c r="I834" s="266"/>
      <c r="J834" s="266"/>
      <c r="K834" s="266"/>
      <c r="L834" s="266"/>
      <c r="M834" s="266"/>
      <c r="N834" s="266"/>
      <c r="O834" s="266"/>
      <c r="P834" s="266"/>
      <c r="Q834" s="266"/>
      <c r="R834" s="266"/>
      <c r="S834" s="216"/>
      <c r="T834" s="216"/>
      <c r="U834" s="217"/>
      <c r="V834" s="216"/>
      <c r="W834" s="216"/>
      <c r="X834" s="216"/>
      <c r="Y834" s="216"/>
      <c r="Z834" s="216"/>
      <c r="AA834" s="216"/>
      <c r="AB834" s="216"/>
      <c r="AC834" s="216"/>
      <c r="AD834" s="216"/>
      <c r="AE834" s="216"/>
      <c r="AF834" s="216"/>
      <c r="AG834" s="216"/>
      <c r="AH834" s="216"/>
      <c r="AI834" s="216"/>
      <c r="AJ834" s="216"/>
      <c r="AK834" s="216"/>
      <c r="AL834" s="216"/>
      <c r="AM834" s="216"/>
      <c r="AN834" s="216"/>
    </row>
    <row r="835">
      <c r="B835" s="267"/>
      <c r="C835" s="266"/>
      <c r="D835" s="266"/>
      <c r="E835" s="266"/>
      <c r="F835" s="266"/>
      <c r="G835" s="266"/>
      <c r="H835" s="266"/>
      <c r="I835" s="266"/>
      <c r="J835" s="266"/>
      <c r="K835" s="266"/>
      <c r="L835" s="266"/>
      <c r="M835" s="266"/>
      <c r="N835" s="266"/>
      <c r="O835" s="266"/>
      <c r="P835" s="266"/>
      <c r="Q835" s="266"/>
      <c r="R835" s="266"/>
      <c r="S835" s="216"/>
      <c r="T835" s="216"/>
      <c r="U835" s="217"/>
      <c r="V835" s="216"/>
      <c r="W835" s="216"/>
      <c r="X835" s="216"/>
      <c r="Y835" s="216"/>
      <c r="Z835" s="216"/>
      <c r="AA835" s="216"/>
      <c r="AB835" s="216"/>
      <c r="AC835" s="216"/>
      <c r="AD835" s="216"/>
      <c r="AE835" s="216"/>
      <c r="AF835" s="216"/>
      <c r="AG835" s="216"/>
      <c r="AH835" s="216"/>
      <c r="AI835" s="216"/>
      <c r="AJ835" s="216"/>
      <c r="AK835" s="216"/>
      <c r="AL835" s="216"/>
      <c r="AM835" s="216"/>
      <c r="AN835" s="216"/>
    </row>
    <row r="836">
      <c r="B836" s="267"/>
      <c r="C836" s="266"/>
      <c r="D836" s="266"/>
      <c r="E836" s="266"/>
      <c r="F836" s="266"/>
      <c r="G836" s="266"/>
      <c r="H836" s="266"/>
      <c r="I836" s="266"/>
      <c r="J836" s="266"/>
      <c r="K836" s="266"/>
      <c r="L836" s="266"/>
      <c r="M836" s="266"/>
      <c r="N836" s="266"/>
      <c r="O836" s="266"/>
      <c r="P836" s="266"/>
      <c r="Q836" s="266"/>
      <c r="R836" s="266"/>
      <c r="S836" s="216"/>
      <c r="T836" s="216"/>
      <c r="U836" s="217"/>
      <c r="V836" s="216"/>
      <c r="W836" s="216"/>
      <c r="X836" s="216"/>
      <c r="Y836" s="216"/>
      <c r="Z836" s="216"/>
      <c r="AA836" s="216"/>
      <c r="AB836" s="216"/>
      <c r="AC836" s="216"/>
      <c r="AD836" s="216"/>
      <c r="AE836" s="216"/>
      <c r="AF836" s="216"/>
      <c r="AG836" s="216"/>
      <c r="AH836" s="216"/>
      <c r="AI836" s="216"/>
      <c r="AJ836" s="216"/>
      <c r="AK836" s="216"/>
      <c r="AL836" s="216"/>
      <c r="AM836" s="216"/>
      <c r="AN836" s="216"/>
    </row>
    <row r="837">
      <c r="B837" s="267"/>
      <c r="C837" s="266"/>
      <c r="D837" s="266"/>
      <c r="E837" s="266"/>
      <c r="F837" s="266"/>
      <c r="G837" s="266"/>
      <c r="H837" s="266"/>
      <c r="I837" s="266"/>
      <c r="J837" s="266"/>
      <c r="K837" s="266"/>
      <c r="L837" s="266"/>
      <c r="M837" s="266"/>
      <c r="N837" s="266"/>
      <c r="O837" s="266"/>
      <c r="P837" s="266"/>
      <c r="Q837" s="266"/>
      <c r="R837" s="266"/>
      <c r="S837" s="216"/>
      <c r="T837" s="216"/>
      <c r="U837" s="217"/>
      <c r="V837" s="216"/>
      <c r="W837" s="216"/>
      <c r="X837" s="216"/>
      <c r="Y837" s="216"/>
      <c r="Z837" s="216"/>
      <c r="AA837" s="216"/>
      <c r="AB837" s="216"/>
      <c r="AC837" s="216"/>
      <c r="AD837" s="216"/>
      <c r="AE837" s="216"/>
      <c r="AF837" s="216"/>
      <c r="AG837" s="216"/>
      <c r="AH837" s="216"/>
      <c r="AI837" s="216"/>
      <c r="AJ837" s="216"/>
      <c r="AK837" s="216"/>
      <c r="AL837" s="216"/>
      <c r="AM837" s="216"/>
      <c r="AN837" s="216"/>
    </row>
    <row r="838">
      <c r="B838" s="267"/>
      <c r="C838" s="266"/>
      <c r="D838" s="266"/>
      <c r="E838" s="266"/>
      <c r="F838" s="266"/>
      <c r="G838" s="266"/>
      <c r="H838" s="266"/>
      <c r="I838" s="266"/>
      <c r="J838" s="266"/>
      <c r="K838" s="266"/>
      <c r="L838" s="266"/>
      <c r="M838" s="266"/>
      <c r="N838" s="266"/>
      <c r="O838" s="266"/>
      <c r="P838" s="266"/>
      <c r="Q838" s="266"/>
      <c r="R838" s="266"/>
      <c r="S838" s="216"/>
      <c r="T838" s="216"/>
      <c r="U838" s="217"/>
      <c r="V838" s="216"/>
      <c r="W838" s="216"/>
      <c r="X838" s="216"/>
      <c r="Y838" s="216"/>
      <c r="Z838" s="216"/>
      <c r="AA838" s="216"/>
      <c r="AB838" s="216"/>
      <c r="AC838" s="216"/>
      <c r="AD838" s="216"/>
      <c r="AE838" s="216"/>
      <c r="AF838" s="216"/>
      <c r="AG838" s="216"/>
      <c r="AH838" s="216"/>
      <c r="AI838" s="216"/>
      <c r="AJ838" s="216"/>
      <c r="AK838" s="216"/>
      <c r="AL838" s="216"/>
      <c r="AM838" s="216"/>
      <c r="AN838" s="216"/>
    </row>
    <row r="839">
      <c r="B839" s="267"/>
      <c r="C839" s="266"/>
      <c r="D839" s="266"/>
      <c r="E839" s="266"/>
      <c r="F839" s="266"/>
      <c r="G839" s="266"/>
      <c r="H839" s="266"/>
      <c r="I839" s="266"/>
      <c r="J839" s="266"/>
      <c r="K839" s="266"/>
      <c r="L839" s="266"/>
      <c r="M839" s="266"/>
      <c r="N839" s="266"/>
      <c r="O839" s="266"/>
      <c r="P839" s="266"/>
      <c r="Q839" s="266"/>
      <c r="R839" s="266"/>
      <c r="S839" s="216"/>
      <c r="T839" s="216"/>
      <c r="U839" s="217"/>
      <c r="V839" s="216"/>
      <c r="W839" s="216"/>
      <c r="X839" s="216"/>
      <c r="Y839" s="216"/>
      <c r="Z839" s="216"/>
      <c r="AA839" s="216"/>
      <c r="AB839" s="216"/>
      <c r="AC839" s="216"/>
      <c r="AD839" s="216"/>
      <c r="AE839" s="216"/>
      <c r="AF839" s="216"/>
      <c r="AG839" s="216"/>
      <c r="AH839" s="216"/>
      <c r="AI839" s="216"/>
      <c r="AJ839" s="216"/>
      <c r="AK839" s="216"/>
      <c r="AL839" s="216"/>
      <c r="AM839" s="216"/>
      <c r="AN839" s="216"/>
    </row>
    <row r="840">
      <c r="B840" s="267"/>
      <c r="C840" s="266"/>
      <c r="D840" s="266"/>
      <c r="E840" s="266"/>
      <c r="F840" s="266"/>
      <c r="G840" s="266"/>
      <c r="H840" s="266"/>
      <c r="I840" s="266"/>
      <c r="J840" s="266"/>
      <c r="K840" s="266"/>
      <c r="L840" s="266"/>
      <c r="M840" s="266"/>
      <c r="N840" s="266"/>
      <c r="O840" s="266"/>
      <c r="P840" s="266"/>
      <c r="Q840" s="266"/>
      <c r="R840" s="266"/>
      <c r="S840" s="216"/>
      <c r="T840" s="216"/>
      <c r="U840" s="217"/>
      <c r="V840" s="216"/>
      <c r="W840" s="216"/>
      <c r="X840" s="216"/>
      <c r="Y840" s="216"/>
      <c r="Z840" s="216"/>
      <c r="AA840" s="216"/>
      <c r="AB840" s="216"/>
      <c r="AC840" s="216"/>
      <c r="AD840" s="216"/>
      <c r="AE840" s="216"/>
      <c r="AF840" s="216"/>
      <c r="AG840" s="216"/>
      <c r="AH840" s="216"/>
      <c r="AI840" s="216"/>
      <c r="AJ840" s="216"/>
      <c r="AK840" s="216"/>
      <c r="AL840" s="216"/>
      <c r="AM840" s="216"/>
      <c r="AN840" s="216"/>
    </row>
    <row r="841">
      <c r="B841" s="267"/>
      <c r="C841" s="266"/>
      <c r="D841" s="266"/>
      <c r="E841" s="266"/>
      <c r="F841" s="266"/>
      <c r="G841" s="266"/>
      <c r="H841" s="266"/>
      <c r="I841" s="266"/>
      <c r="J841" s="266"/>
      <c r="K841" s="266"/>
      <c r="L841" s="266"/>
      <c r="M841" s="266"/>
      <c r="N841" s="266"/>
      <c r="O841" s="266"/>
      <c r="P841" s="266"/>
      <c r="Q841" s="266"/>
      <c r="R841" s="266"/>
      <c r="S841" s="216"/>
      <c r="T841" s="216"/>
      <c r="U841" s="217"/>
      <c r="V841" s="216"/>
      <c r="W841" s="216"/>
      <c r="X841" s="216"/>
      <c r="Y841" s="216"/>
      <c r="Z841" s="216"/>
      <c r="AA841" s="216"/>
      <c r="AB841" s="216"/>
      <c r="AC841" s="216"/>
      <c r="AD841" s="216"/>
      <c r="AE841" s="216"/>
      <c r="AF841" s="216"/>
      <c r="AG841" s="216"/>
      <c r="AH841" s="216"/>
      <c r="AI841" s="216"/>
      <c r="AJ841" s="216"/>
      <c r="AK841" s="216"/>
      <c r="AL841" s="216"/>
      <c r="AM841" s="216"/>
      <c r="AN841" s="216"/>
    </row>
    <row r="842">
      <c r="B842" s="267"/>
      <c r="C842" s="266"/>
      <c r="D842" s="266"/>
      <c r="E842" s="266"/>
      <c r="F842" s="266"/>
      <c r="G842" s="266"/>
      <c r="H842" s="266"/>
      <c r="I842" s="266"/>
      <c r="J842" s="266"/>
      <c r="K842" s="266"/>
      <c r="L842" s="266"/>
      <c r="M842" s="266"/>
      <c r="N842" s="266"/>
      <c r="O842" s="266"/>
      <c r="P842" s="266"/>
      <c r="Q842" s="266"/>
      <c r="R842" s="266"/>
      <c r="S842" s="216"/>
      <c r="T842" s="216"/>
      <c r="U842" s="217"/>
      <c r="V842" s="216"/>
      <c r="W842" s="216"/>
      <c r="X842" s="216"/>
      <c r="Y842" s="216"/>
      <c r="Z842" s="216"/>
      <c r="AA842" s="216"/>
      <c r="AB842" s="216"/>
      <c r="AC842" s="216"/>
      <c r="AD842" s="216"/>
      <c r="AE842" s="216"/>
      <c r="AF842" s="216"/>
      <c r="AG842" s="216"/>
      <c r="AH842" s="216"/>
      <c r="AI842" s="216"/>
      <c r="AJ842" s="216"/>
      <c r="AK842" s="216"/>
      <c r="AL842" s="216"/>
      <c r="AM842" s="216"/>
      <c r="AN842" s="216"/>
    </row>
    <row r="843">
      <c r="B843" s="267"/>
      <c r="C843" s="266"/>
      <c r="D843" s="266"/>
      <c r="E843" s="266"/>
      <c r="F843" s="266"/>
      <c r="G843" s="266"/>
      <c r="H843" s="266"/>
      <c r="I843" s="266"/>
      <c r="J843" s="266"/>
      <c r="K843" s="266"/>
      <c r="L843" s="266"/>
      <c r="M843" s="266"/>
      <c r="N843" s="266"/>
      <c r="O843" s="266"/>
      <c r="P843" s="266"/>
      <c r="Q843" s="266"/>
      <c r="R843" s="266"/>
      <c r="S843" s="216"/>
      <c r="T843" s="216"/>
      <c r="U843" s="217"/>
      <c r="V843" s="216"/>
      <c r="W843" s="216"/>
      <c r="X843" s="216"/>
      <c r="Y843" s="216"/>
      <c r="Z843" s="216"/>
      <c r="AA843" s="216"/>
      <c r="AB843" s="216"/>
      <c r="AC843" s="216"/>
      <c r="AD843" s="216"/>
      <c r="AE843" s="216"/>
      <c r="AF843" s="216"/>
      <c r="AG843" s="216"/>
      <c r="AH843" s="216"/>
      <c r="AI843" s="216"/>
      <c r="AJ843" s="216"/>
      <c r="AK843" s="216"/>
      <c r="AL843" s="216"/>
      <c r="AM843" s="216"/>
      <c r="AN843" s="216"/>
    </row>
    <row r="844">
      <c r="B844" s="267"/>
      <c r="C844" s="266"/>
      <c r="D844" s="266"/>
      <c r="E844" s="266"/>
      <c r="F844" s="266"/>
      <c r="G844" s="266"/>
      <c r="H844" s="266"/>
      <c r="I844" s="266"/>
      <c r="J844" s="266"/>
      <c r="K844" s="266"/>
      <c r="L844" s="266"/>
      <c r="M844" s="266"/>
      <c r="N844" s="266"/>
      <c r="O844" s="266"/>
      <c r="P844" s="266"/>
      <c r="Q844" s="266"/>
      <c r="R844" s="266"/>
      <c r="S844" s="216"/>
      <c r="T844" s="216"/>
      <c r="U844" s="217"/>
      <c r="V844" s="216"/>
      <c r="W844" s="216"/>
      <c r="X844" s="216"/>
      <c r="Y844" s="216"/>
      <c r="Z844" s="216"/>
      <c r="AA844" s="216"/>
      <c r="AB844" s="216"/>
      <c r="AC844" s="216"/>
      <c r="AD844" s="216"/>
      <c r="AE844" s="216"/>
      <c r="AF844" s="216"/>
      <c r="AG844" s="216"/>
      <c r="AH844" s="216"/>
      <c r="AI844" s="216"/>
      <c r="AJ844" s="216"/>
      <c r="AK844" s="216"/>
      <c r="AL844" s="216"/>
      <c r="AM844" s="216"/>
      <c r="AN844" s="216"/>
    </row>
    <row r="845">
      <c r="B845" s="267"/>
      <c r="C845" s="266"/>
      <c r="D845" s="266"/>
      <c r="E845" s="266"/>
      <c r="F845" s="266"/>
      <c r="G845" s="266"/>
      <c r="H845" s="266"/>
      <c r="I845" s="266"/>
      <c r="J845" s="266"/>
      <c r="K845" s="266"/>
      <c r="L845" s="266"/>
      <c r="M845" s="266"/>
      <c r="N845" s="266"/>
      <c r="O845" s="266"/>
      <c r="P845" s="266"/>
      <c r="Q845" s="266"/>
      <c r="R845" s="266"/>
      <c r="S845" s="216"/>
      <c r="T845" s="216"/>
      <c r="U845" s="217"/>
      <c r="V845" s="216"/>
      <c r="W845" s="216"/>
      <c r="X845" s="216"/>
      <c r="Y845" s="216"/>
      <c r="Z845" s="216"/>
      <c r="AA845" s="216"/>
      <c r="AB845" s="216"/>
      <c r="AC845" s="216"/>
      <c r="AD845" s="216"/>
      <c r="AE845" s="216"/>
      <c r="AF845" s="216"/>
      <c r="AG845" s="216"/>
      <c r="AH845" s="216"/>
      <c r="AI845" s="216"/>
      <c r="AJ845" s="216"/>
      <c r="AK845" s="216"/>
      <c r="AL845" s="216"/>
      <c r="AM845" s="216"/>
      <c r="AN845" s="216"/>
    </row>
    <row r="846">
      <c r="B846" s="267"/>
      <c r="C846" s="266"/>
      <c r="D846" s="266"/>
      <c r="E846" s="266"/>
      <c r="F846" s="266"/>
      <c r="G846" s="266"/>
      <c r="H846" s="266"/>
      <c r="I846" s="266"/>
      <c r="J846" s="266"/>
      <c r="K846" s="266"/>
      <c r="L846" s="266"/>
      <c r="M846" s="266"/>
      <c r="N846" s="266"/>
      <c r="O846" s="266"/>
      <c r="P846" s="266"/>
      <c r="Q846" s="266"/>
      <c r="R846" s="266"/>
      <c r="S846" s="216"/>
      <c r="T846" s="216"/>
      <c r="U846" s="217"/>
      <c r="V846" s="216"/>
      <c r="W846" s="216"/>
      <c r="X846" s="216"/>
      <c r="Y846" s="216"/>
      <c r="Z846" s="216"/>
      <c r="AA846" s="216"/>
      <c r="AB846" s="216"/>
      <c r="AC846" s="216"/>
      <c r="AD846" s="216"/>
      <c r="AE846" s="216"/>
      <c r="AF846" s="216"/>
      <c r="AG846" s="216"/>
      <c r="AH846" s="216"/>
      <c r="AI846" s="216"/>
      <c r="AJ846" s="216"/>
      <c r="AK846" s="216"/>
      <c r="AL846" s="216"/>
      <c r="AM846" s="216"/>
      <c r="AN846" s="216"/>
    </row>
    <row r="847">
      <c r="B847" s="267"/>
      <c r="C847" s="266"/>
      <c r="D847" s="266"/>
      <c r="E847" s="266"/>
      <c r="F847" s="266"/>
      <c r="G847" s="266"/>
      <c r="H847" s="266"/>
      <c r="I847" s="266"/>
      <c r="J847" s="266"/>
      <c r="K847" s="266"/>
      <c r="L847" s="266"/>
      <c r="M847" s="266"/>
      <c r="N847" s="266"/>
      <c r="O847" s="266"/>
      <c r="P847" s="266"/>
      <c r="Q847" s="266"/>
      <c r="R847" s="266"/>
      <c r="S847" s="216"/>
      <c r="T847" s="216"/>
      <c r="U847" s="217"/>
      <c r="V847" s="216"/>
      <c r="W847" s="216"/>
      <c r="X847" s="216"/>
      <c r="Y847" s="216"/>
      <c r="Z847" s="216"/>
      <c r="AA847" s="216"/>
      <c r="AB847" s="216"/>
      <c r="AC847" s="216"/>
      <c r="AD847" s="216"/>
      <c r="AE847" s="216"/>
      <c r="AF847" s="216"/>
      <c r="AG847" s="216"/>
      <c r="AH847" s="216"/>
      <c r="AI847" s="216"/>
      <c r="AJ847" s="216"/>
      <c r="AK847" s="216"/>
      <c r="AL847" s="216"/>
      <c r="AM847" s="216"/>
      <c r="AN847" s="216"/>
    </row>
    <row r="848">
      <c r="B848" s="267"/>
      <c r="C848" s="266"/>
      <c r="D848" s="266"/>
      <c r="E848" s="266"/>
      <c r="F848" s="266"/>
      <c r="G848" s="266"/>
      <c r="H848" s="266"/>
      <c r="I848" s="266"/>
      <c r="J848" s="266"/>
      <c r="K848" s="266"/>
      <c r="L848" s="266"/>
      <c r="M848" s="266"/>
      <c r="N848" s="266"/>
      <c r="O848" s="266"/>
      <c r="P848" s="266"/>
      <c r="Q848" s="266"/>
      <c r="R848" s="266"/>
      <c r="S848" s="216"/>
      <c r="T848" s="216"/>
      <c r="U848" s="217"/>
      <c r="V848" s="216"/>
      <c r="W848" s="216"/>
      <c r="X848" s="216"/>
      <c r="Y848" s="216"/>
      <c r="Z848" s="216"/>
      <c r="AA848" s="216"/>
      <c r="AB848" s="216"/>
      <c r="AC848" s="216"/>
      <c r="AD848" s="216"/>
      <c r="AE848" s="216"/>
      <c r="AF848" s="216"/>
      <c r="AG848" s="216"/>
      <c r="AH848" s="216"/>
      <c r="AI848" s="216"/>
      <c r="AJ848" s="216"/>
      <c r="AK848" s="216"/>
      <c r="AL848" s="216"/>
      <c r="AM848" s="216"/>
      <c r="AN848" s="216"/>
    </row>
    <row r="849">
      <c r="B849" s="267"/>
      <c r="C849" s="266"/>
      <c r="D849" s="266"/>
      <c r="E849" s="266"/>
      <c r="F849" s="266"/>
      <c r="G849" s="266"/>
      <c r="H849" s="266"/>
      <c r="I849" s="266"/>
      <c r="J849" s="266"/>
      <c r="K849" s="266"/>
      <c r="L849" s="266"/>
      <c r="M849" s="266"/>
      <c r="N849" s="266"/>
      <c r="O849" s="266"/>
      <c r="P849" s="266"/>
      <c r="Q849" s="266"/>
      <c r="R849" s="266"/>
      <c r="S849" s="216"/>
      <c r="T849" s="216"/>
      <c r="U849" s="217"/>
      <c r="V849" s="216"/>
      <c r="W849" s="216"/>
      <c r="X849" s="216"/>
      <c r="Y849" s="216"/>
      <c r="Z849" s="216"/>
      <c r="AA849" s="216"/>
      <c r="AB849" s="216"/>
      <c r="AC849" s="216"/>
      <c r="AD849" s="216"/>
      <c r="AE849" s="216"/>
      <c r="AF849" s="216"/>
      <c r="AG849" s="216"/>
      <c r="AH849" s="216"/>
      <c r="AI849" s="216"/>
      <c r="AJ849" s="216"/>
      <c r="AK849" s="216"/>
      <c r="AL849" s="216"/>
      <c r="AM849" s="216"/>
      <c r="AN849" s="216"/>
    </row>
    <row r="850">
      <c r="B850" s="267"/>
      <c r="C850" s="266"/>
      <c r="D850" s="266"/>
      <c r="E850" s="266"/>
      <c r="F850" s="266"/>
      <c r="G850" s="266"/>
      <c r="H850" s="266"/>
      <c r="I850" s="266"/>
      <c r="J850" s="266"/>
      <c r="K850" s="266"/>
      <c r="L850" s="266"/>
      <c r="M850" s="266"/>
      <c r="N850" s="266"/>
      <c r="O850" s="266"/>
      <c r="P850" s="266"/>
      <c r="Q850" s="266"/>
      <c r="R850" s="266"/>
      <c r="S850" s="216"/>
      <c r="T850" s="216"/>
      <c r="U850" s="217"/>
      <c r="V850" s="216"/>
      <c r="W850" s="216"/>
      <c r="X850" s="216"/>
      <c r="Y850" s="216"/>
      <c r="Z850" s="216"/>
      <c r="AA850" s="216"/>
      <c r="AB850" s="216"/>
      <c r="AC850" s="216"/>
      <c r="AD850" s="216"/>
      <c r="AE850" s="216"/>
      <c r="AF850" s="216"/>
      <c r="AG850" s="216"/>
      <c r="AH850" s="216"/>
      <c r="AI850" s="216"/>
      <c r="AJ850" s="216"/>
      <c r="AK850" s="216"/>
      <c r="AL850" s="216"/>
      <c r="AM850" s="216"/>
      <c r="AN850" s="216"/>
    </row>
    <row r="851">
      <c r="B851" s="267"/>
      <c r="C851" s="266"/>
      <c r="D851" s="266"/>
      <c r="E851" s="266"/>
      <c r="F851" s="266"/>
      <c r="G851" s="266"/>
      <c r="H851" s="266"/>
      <c r="I851" s="266"/>
      <c r="J851" s="266"/>
      <c r="K851" s="266"/>
      <c r="L851" s="266"/>
      <c r="M851" s="266"/>
      <c r="N851" s="266"/>
      <c r="O851" s="266"/>
      <c r="P851" s="266"/>
      <c r="Q851" s="266"/>
      <c r="R851" s="266"/>
      <c r="S851" s="216"/>
      <c r="T851" s="216"/>
      <c r="U851" s="217"/>
      <c r="V851" s="216"/>
      <c r="W851" s="216"/>
      <c r="X851" s="216"/>
      <c r="Y851" s="216"/>
      <c r="Z851" s="216"/>
      <c r="AA851" s="216"/>
      <c r="AB851" s="216"/>
      <c r="AC851" s="216"/>
      <c r="AD851" s="216"/>
      <c r="AE851" s="216"/>
      <c r="AF851" s="216"/>
      <c r="AG851" s="216"/>
      <c r="AH851" s="216"/>
      <c r="AI851" s="216"/>
      <c r="AJ851" s="216"/>
      <c r="AK851" s="216"/>
      <c r="AL851" s="216"/>
      <c r="AM851" s="216"/>
      <c r="AN851" s="216"/>
    </row>
    <row r="852">
      <c r="B852" s="267"/>
      <c r="C852" s="266"/>
      <c r="D852" s="266"/>
      <c r="E852" s="266"/>
      <c r="F852" s="266"/>
      <c r="G852" s="266"/>
      <c r="H852" s="266"/>
      <c r="I852" s="266"/>
      <c r="J852" s="266"/>
      <c r="K852" s="266"/>
      <c r="L852" s="266"/>
      <c r="M852" s="266"/>
      <c r="N852" s="266"/>
      <c r="O852" s="266"/>
      <c r="P852" s="266"/>
      <c r="Q852" s="266"/>
      <c r="R852" s="266"/>
      <c r="S852" s="216"/>
      <c r="T852" s="216"/>
      <c r="U852" s="217"/>
      <c r="V852" s="216"/>
      <c r="W852" s="216"/>
      <c r="X852" s="216"/>
      <c r="Y852" s="216"/>
      <c r="Z852" s="216"/>
      <c r="AA852" s="216"/>
      <c r="AB852" s="216"/>
      <c r="AC852" s="216"/>
      <c r="AD852" s="216"/>
      <c r="AE852" s="216"/>
      <c r="AF852" s="216"/>
      <c r="AG852" s="216"/>
      <c r="AH852" s="216"/>
      <c r="AI852" s="216"/>
      <c r="AJ852" s="216"/>
      <c r="AK852" s="216"/>
      <c r="AL852" s="216"/>
      <c r="AM852" s="216"/>
      <c r="AN852" s="216"/>
    </row>
    <row r="853">
      <c r="B853" s="267"/>
      <c r="C853" s="266"/>
      <c r="D853" s="266"/>
      <c r="E853" s="266"/>
      <c r="F853" s="266"/>
      <c r="G853" s="266"/>
      <c r="H853" s="266"/>
      <c r="I853" s="266"/>
      <c r="J853" s="266"/>
      <c r="K853" s="266"/>
      <c r="L853" s="266"/>
      <c r="M853" s="266"/>
      <c r="N853" s="266"/>
      <c r="O853" s="266"/>
      <c r="P853" s="266"/>
      <c r="Q853" s="266"/>
      <c r="R853" s="266"/>
      <c r="S853" s="216"/>
      <c r="T853" s="216"/>
      <c r="U853" s="217"/>
      <c r="V853" s="216"/>
      <c r="W853" s="216"/>
      <c r="X853" s="216"/>
      <c r="Y853" s="216"/>
      <c r="Z853" s="216"/>
      <c r="AA853" s="216"/>
      <c r="AB853" s="216"/>
      <c r="AC853" s="216"/>
      <c r="AD853" s="216"/>
      <c r="AE853" s="216"/>
      <c r="AF853" s="216"/>
      <c r="AG853" s="216"/>
      <c r="AH853" s="216"/>
      <c r="AI853" s="216"/>
      <c r="AJ853" s="216"/>
      <c r="AK853" s="216"/>
      <c r="AL853" s="216"/>
      <c r="AM853" s="216"/>
      <c r="AN853" s="216"/>
    </row>
    <row r="854">
      <c r="B854" s="267"/>
      <c r="C854" s="266"/>
      <c r="D854" s="266"/>
      <c r="E854" s="266"/>
      <c r="F854" s="266"/>
      <c r="G854" s="266"/>
      <c r="H854" s="266"/>
      <c r="I854" s="266"/>
      <c r="J854" s="266"/>
      <c r="K854" s="266"/>
      <c r="L854" s="266"/>
      <c r="M854" s="266"/>
      <c r="N854" s="266"/>
      <c r="O854" s="266"/>
      <c r="P854" s="266"/>
      <c r="Q854" s="266"/>
      <c r="R854" s="266"/>
      <c r="S854" s="216"/>
      <c r="T854" s="216"/>
      <c r="U854" s="217"/>
      <c r="V854" s="216"/>
      <c r="W854" s="216"/>
      <c r="X854" s="216"/>
      <c r="Y854" s="216"/>
      <c r="Z854" s="216"/>
      <c r="AA854" s="216"/>
      <c r="AB854" s="216"/>
      <c r="AC854" s="216"/>
      <c r="AD854" s="216"/>
      <c r="AE854" s="216"/>
      <c r="AF854" s="216"/>
      <c r="AG854" s="216"/>
      <c r="AH854" s="216"/>
      <c r="AI854" s="216"/>
      <c r="AJ854" s="216"/>
      <c r="AK854" s="216"/>
      <c r="AL854" s="216"/>
      <c r="AM854" s="216"/>
      <c r="AN854" s="216"/>
    </row>
    <row r="855">
      <c r="B855" s="267"/>
      <c r="C855" s="266"/>
      <c r="D855" s="266"/>
      <c r="E855" s="266"/>
      <c r="F855" s="266"/>
      <c r="G855" s="266"/>
      <c r="H855" s="266"/>
      <c r="I855" s="266"/>
      <c r="J855" s="266"/>
      <c r="K855" s="266"/>
      <c r="L855" s="266"/>
      <c r="M855" s="266"/>
      <c r="N855" s="266"/>
      <c r="O855" s="266"/>
      <c r="P855" s="266"/>
      <c r="Q855" s="266"/>
      <c r="R855" s="266"/>
      <c r="S855" s="216"/>
      <c r="T855" s="216"/>
      <c r="U855" s="217"/>
      <c r="V855" s="216"/>
      <c r="W855" s="216"/>
      <c r="X855" s="216"/>
      <c r="Y855" s="216"/>
      <c r="Z855" s="216"/>
      <c r="AA855" s="216"/>
      <c r="AB855" s="216"/>
      <c r="AC855" s="216"/>
      <c r="AD855" s="216"/>
      <c r="AE855" s="216"/>
      <c r="AF855" s="216"/>
      <c r="AG855" s="216"/>
      <c r="AH855" s="216"/>
      <c r="AI855" s="216"/>
      <c r="AJ855" s="216"/>
      <c r="AK855" s="216"/>
      <c r="AL855" s="216"/>
      <c r="AM855" s="216"/>
      <c r="AN855" s="216"/>
    </row>
    <row r="856">
      <c r="B856" s="267"/>
      <c r="C856" s="266"/>
      <c r="D856" s="266"/>
      <c r="E856" s="266"/>
      <c r="F856" s="266"/>
      <c r="G856" s="266"/>
      <c r="H856" s="266"/>
      <c r="I856" s="266"/>
      <c r="J856" s="266"/>
      <c r="K856" s="266"/>
      <c r="L856" s="266"/>
      <c r="M856" s="266"/>
      <c r="N856" s="266"/>
      <c r="O856" s="266"/>
      <c r="P856" s="266"/>
      <c r="Q856" s="266"/>
      <c r="R856" s="266"/>
      <c r="S856" s="216"/>
      <c r="T856" s="216"/>
      <c r="U856" s="217"/>
      <c r="V856" s="216"/>
      <c r="W856" s="216"/>
      <c r="X856" s="216"/>
      <c r="Y856" s="216"/>
      <c r="Z856" s="216"/>
      <c r="AA856" s="216"/>
      <c r="AB856" s="216"/>
      <c r="AC856" s="216"/>
      <c r="AD856" s="216"/>
      <c r="AE856" s="216"/>
      <c r="AF856" s="216"/>
      <c r="AG856" s="216"/>
      <c r="AH856" s="216"/>
      <c r="AI856" s="216"/>
      <c r="AJ856" s="216"/>
      <c r="AK856" s="216"/>
      <c r="AL856" s="216"/>
      <c r="AM856" s="216"/>
      <c r="AN856" s="216"/>
    </row>
    <row r="857">
      <c r="B857" s="267"/>
      <c r="C857" s="266"/>
      <c r="D857" s="266"/>
      <c r="E857" s="266"/>
      <c r="F857" s="266"/>
      <c r="G857" s="266"/>
      <c r="H857" s="266"/>
      <c r="I857" s="266"/>
      <c r="J857" s="266"/>
      <c r="K857" s="266"/>
      <c r="L857" s="266"/>
      <c r="M857" s="266"/>
      <c r="N857" s="266"/>
      <c r="O857" s="266"/>
      <c r="P857" s="266"/>
      <c r="Q857" s="266"/>
      <c r="R857" s="266"/>
      <c r="S857" s="216"/>
      <c r="T857" s="216"/>
      <c r="U857" s="217"/>
      <c r="V857" s="216"/>
      <c r="W857" s="216"/>
      <c r="X857" s="216"/>
      <c r="Y857" s="216"/>
      <c r="Z857" s="216"/>
      <c r="AA857" s="216"/>
      <c r="AB857" s="216"/>
      <c r="AC857" s="216"/>
      <c r="AD857" s="216"/>
      <c r="AE857" s="216"/>
      <c r="AF857" s="216"/>
      <c r="AG857" s="216"/>
      <c r="AH857" s="216"/>
      <c r="AI857" s="216"/>
      <c r="AJ857" s="216"/>
      <c r="AK857" s="216"/>
      <c r="AL857" s="216"/>
      <c r="AM857" s="216"/>
      <c r="AN857" s="216"/>
    </row>
    <row r="858">
      <c r="B858" s="267"/>
      <c r="C858" s="266"/>
      <c r="D858" s="266"/>
      <c r="E858" s="266"/>
      <c r="F858" s="266"/>
      <c r="G858" s="266"/>
      <c r="H858" s="266"/>
      <c r="I858" s="266"/>
      <c r="J858" s="266"/>
      <c r="K858" s="266"/>
      <c r="L858" s="266"/>
      <c r="M858" s="266"/>
      <c r="N858" s="266"/>
      <c r="O858" s="266"/>
      <c r="P858" s="266"/>
      <c r="Q858" s="266"/>
      <c r="R858" s="266"/>
      <c r="S858" s="216"/>
      <c r="T858" s="216"/>
      <c r="U858" s="217"/>
      <c r="V858" s="216"/>
      <c r="W858" s="216"/>
      <c r="X858" s="216"/>
      <c r="Y858" s="216"/>
      <c r="Z858" s="216"/>
      <c r="AA858" s="216"/>
      <c r="AB858" s="216"/>
      <c r="AC858" s="216"/>
      <c r="AD858" s="216"/>
      <c r="AE858" s="216"/>
      <c r="AF858" s="216"/>
      <c r="AG858" s="216"/>
      <c r="AH858" s="216"/>
      <c r="AI858" s="216"/>
      <c r="AJ858" s="216"/>
      <c r="AK858" s="216"/>
      <c r="AL858" s="216"/>
      <c r="AM858" s="216"/>
      <c r="AN858" s="216"/>
    </row>
    <row r="859">
      <c r="B859" s="267"/>
      <c r="C859" s="266"/>
      <c r="D859" s="266"/>
      <c r="E859" s="266"/>
      <c r="F859" s="266"/>
      <c r="G859" s="266"/>
      <c r="H859" s="266"/>
      <c r="I859" s="266"/>
      <c r="J859" s="266"/>
      <c r="K859" s="266"/>
      <c r="L859" s="266"/>
      <c r="M859" s="266"/>
      <c r="N859" s="266"/>
      <c r="O859" s="266"/>
      <c r="P859" s="266"/>
      <c r="Q859" s="266"/>
      <c r="R859" s="266"/>
      <c r="S859" s="216"/>
      <c r="T859" s="216"/>
      <c r="U859" s="217"/>
      <c r="V859" s="216"/>
      <c r="W859" s="216"/>
      <c r="X859" s="216"/>
      <c r="Y859" s="216"/>
      <c r="Z859" s="216"/>
      <c r="AA859" s="216"/>
      <c r="AB859" s="216"/>
      <c r="AC859" s="216"/>
      <c r="AD859" s="216"/>
      <c r="AE859" s="216"/>
      <c r="AF859" s="216"/>
      <c r="AG859" s="216"/>
      <c r="AH859" s="216"/>
      <c r="AI859" s="216"/>
      <c r="AJ859" s="216"/>
      <c r="AK859" s="216"/>
      <c r="AL859" s="216"/>
      <c r="AM859" s="216"/>
      <c r="AN859" s="216"/>
    </row>
    <row r="860">
      <c r="B860" s="267"/>
      <c r="C860" s="266"/>
      <c r="D860" s="266"/>
      <c r="E860" s="266"/>
      <c r="F860" s="266"/>
      <c r="G860" s="266"/>
      <c r="H860" s="266"/>
      <c r="I860" s="266"/>
      <c r="J860" s="266"/>
      <c r="K860" s="266"/>
      <c r="L860" s="266"/>
      <c r="M860" s="266"/>
      <c r="N860" s="266"/>
      <c r="O860" s="266"/>
      <c r="P860" s="266"/>
      <c r="Q860" s="266"/>
      <c r="R860" s="266"/>
      <c r="S860" s="216"/>
      <c r="T860" s="216"/>
      <c r="U860" s="217"/>
      <c r="V860" s="216"/>
      <c r="W860" s="216"/>
      <c r="X860" s="216"/>
      <c r="Y860" s="216"/>
      <c r="Z860" s="216"/>
      <c r="AA860" s="216"/>
      <c r="AB860" s="216"/>
      <c r="AC860" s="216"/>
      <c r="AD860" s="216"/>
      <c r="AE860" s="216"/>
      <c r="AF860" s="216"/>
      <c r="AG860" s="216"/>
      <c r="AH860" s="216"/>
      <c r="AI860" s="216"/>
      <c r="AJ860" s="216"/>
      <c r="AK860" s="216"/>
      <c r="AL860" s="216"/>
      <c r="AM860" s="216"/>
      <c r="AN860" s="216"/>
    </row>
    <row r="861">
      <c r="B861" s="267"/>
      <c r="C861" s="266"/>
      <c r="D861" s="266"/>
      <c r="E861" s="266"/>
      <c r="F861" s="266"/>
      <c r="G861" s="266"/>
      <c r="H861" s="266"/>
      <c r="I861" s="266"/>
      <c r="J861" s="266"/>
      <c r="K861" s="266"/>
      <c r="L861" s="266"/>
      <c r="M861" s="266"/>
      <c r="N861" s="266"/>
      <c r="O861" s="266"/>
      <c r="P861" s="266"/>
      <c r="Q861" s="266"/>
      <c r="R861" s="266"/>
      <c r="S861" s="216"/>
      <c r="T861" s="216"/>
      <c r="U861" s="217"/>
      <c r="V861" s="216"/>
      <c r="W861" s="216"/>
      <c r="X861" s="216"/>
      <c r="Y861" s="216"/>
      <c r="Z861" s="216"/>
      <c r="AA861" s="216"/>
      <c r="AB861" s="216"/>
      <c r="AC861" s="216"/>
      <c r="AD861" s="216"/>
      <c r="AE861" s="216"/>
      <c r="AF861" s="216"/>
      <c r="AG861" s="216"/>
      <c r="AH861" s="216"/>
      <c r="AI861" s="216"/>
      <c r="AJ861" s="216"/>
      <c r="AK861" s="216"/>
      <c r="AL861" s="216"/>
      <c r="AM861" s="216"/>
      <c r="AN861" s="216"/>
    </row>
    <row r="862">
      <c r="B862" s="267"/>
      <c r="C862" s="266"/>
      <c r="D862" s="266"/>
      <c r="E862" s="266"/>
      <c r="F862" s="266"/>
      <c r="G862" s="266"/>
      <c r="H862" s="266"/>
      <c r="I862" s="266"/>
      <c r="J862" s="266"/>
      <c r="K862" s="266"/>
      <c r="L862" s="266"/>
      <c r="M862" s="266"/>
      <c r="N862" s="266"/>
      <c r="O862" s="266"/>
      <c r="P862" s="266"/>
      <c r="Q862" s="266"/>
      <c r="R862" s="266"/>
      <c r="S862" s="216"/>
      <c r="T862" s="216"/>
      <c r="U862" s="217"/>
      <c r="V862" s="216"/>
      <c r="W862" s="216"/>
      <c r="X862" s="216"/>
      <c r="Y862" s="216"/>
      <c r="Z862" s="216"/>
      <c r="AA862" s="216"/>
      <c r="AB862" s="216"/>
      <c r="AC862" s="216"/>
      <c r="AD862" s="216"/>
      <c r="AE862" s="216"/>
      <c r="AF862" s="216"/>
      <c r="AG862" s="216"/>
      <c r="AH862" s="216"/>
      <c r="AI862" s="216"/>
      <c r="AJ862" s="216"/>
      <c r="AK862" s="216"/>
      <c r="AL862" s="216"/>
      <c r="AM862" s="216"/>
      <c r="AN862" s="216"/>
    </row>
    <row r="863">
      <c r="B863" s="267"/>
      <c r="C863" s="266"/>
      <c r="D863" s="266"/>
      <c r="E863" s="266"/>
      <c r="F863" s="266"/>
      <c r="G863" s="266"/>
      <c r="H863" s="266"/>
      <c r="I863" s="266"/>
      <c r="J863" s="266"/>
      <c r="K863" s="266"/>
      <c r="L863" s="266"/>
      <c r="M863" s="266"/>
      <c r="N863" s="266"/>
      <c r="O863" s="266"/>
      <c r="P863" s="266"/>
      <c r="Q863" s="266"/>
      <c r="R863" s="266"/>
      <c r="S863" s="216"/>
      <c r="T863" s="216"/>
      <c r="U863" s="217"/>
      <c r="V863" s="216"/>
      <c r="W863" s="216"/>
      <c r="X863" s="216"/>
      <c r="Y863" s="216"/>
      <c r="Z863" s="216"/>
      <c r="AA863" s="216"/>
      <c r="AB863" s="216"/>
      <c r="AC863" s="216"/>
      <c r="AD863" s="216"/>
      <c r="AE863" s="216"/>
      <c r="AF863" s="216"/>
      <c r="AG863" s="216"/>
      <c r="AH863" s="216"/>
      <c r="AI863" s="216"/>
      <c r="AJ863" s="216"/>
      <c r="AK863" s="216"/>
      <c r="AL863" s="216"/>
      <c r="AM863" s="216"/>
      <c r="AN863" s="216"/>
    </row>
    <row r="864">
      <c r="B864" s="267"/>
      <c r="C864" s="266"/>
      <c r="D864" s="266"/>
      <c r="E864" s="266"/>
      <c r="F864" s="266"/>
      <c r="G864" s="266"/>
      <c r="H864" s="266"/>
      <c r="I864" s="266"/>
      <c r="J864" s="266"/>
      <c r="K864" s="266"/>
      <c r="L864" s="266"/>
      <c r="M864" s="266"/>
      <c r="N864" s="266"/>
      <c r="O864" s="266"/>
      <c r="P864" s="266"/>
      <c r="Q864" s="266"/>
      <c r="R864" s="266"/>
      <c r="S864" s="216"/>
      <c r="T864" s="216"/>
      <c r="U864" s="217"/>
      <c r="V864" s="216"/>
      <c r="W864" s="216"/>
      <c r="X864" s="216"/>
      <c r="Y864" s="216"/>
      <c r="Z864" s="216"/>
      <c r="AA864" s="216"/>
      <c r="AB864" s="216"/>
      <c r="AC864" s="216"/>
      <c r="AD864" s="216"/>
      <c r="AE864" s="216"/>
      <c r="AF864" s="216"/>
      <c r="AG864" s="216"/>
      <c r="AH864" s="216"/>
      <c r="AI864" s="216"/>
      <c r="AJ864" s="216"/>
      <c r="AK864" s="216"/>
      <c r="AL864" s="216"/>
      <c r="AM864" s="216"/>
      <c r="AN864" s="216"/>
    </row>
    <row r="865">
      <c r="B865" s="267"/>
      <c r="C865" s="266"/>
      <c r="D865" s="266"/>
      <c r="E865" s="266"/>
      <c r="F865" s="266"/>
      <c r="G865" s="266"/>
      <c r="H865" s="266"/>
      <c r="I865" s="266"/>
      <c r="J865" s="266"/>
      <c r="K865" s="266"/>
      <c r="L865" s="266"/>
      <c r="M865" s="266"/>
      <c r="N865" s="266"/>
      <c r="O865" s="266"/>
      <c r="P865" s="266"/>
      <c r="Q865" s="266"/>
      <c r="R865" s="266"/>
      <c r="S865" s="216"/>
      <c r="T865" s="216"/>
      <c r="U865" s="217"/>
      <c r="V865" s="216"/>
      <c r="W865" s="216"/>
      <c r="X865" s="216"/>
      <c r="Y865" s="216"/>
      <c r="Z865" s="216"/>
      <c r="AA865" s="216"/>
      <c r="AB865" s="216"/>
      <c r="AC865" s="216"/>
      <c r="AD865" s="216"/>
      <c r="AE865" s="216"/>
      <c r="AF865" s="216"/>
      <c r="AG865" s="216"/>
      <c r="AH865" s="216"/>
      <c r="AI865" s="216"/>
      <c r="AJ865" s="216"/>
      <c r="AK865" s="216"/>
      <c r="AL865" s="216"/>
      <c r="AM865" s="216"/>
      <c r="AN865" s="216"/>
    </row>
    <row r="866">
      <c r="B866" s="267"/>
      <c r="C866" s="266"/>
      <c r="D866" s="266"/>
      <c r="E866" s="266"/>
      <c r="F866" s="266"/>
      <c r="G866" s="266"/>
      <c r="H866" s="266"/>
      <c r="I866" s="266"/>
      <c r="J866" s="266"/>
      <c r="K866" s="266"/>
      <c r="L866" s="266"/>
      <c r="M866" s="266"/>
      <c r="N866" s="266"/>
      <c r="O866" s="266"/>
      <c r="P866" s="266"/>
      <c r="Q866" s="266"/>
      <c r="R866" s="266"/>
      <c r="S866" s="216"/>
      <c r="T866" s="216"/>
      <c r="U866" s="217"/>
      <c r="V866" s="216"/>
      <c r="W866" s="216"/>
      <c r="X866" s="216"/>
      <c r="Y866" s="216"/>
      <c r="Z866" s="216"/>
      <c r="AA866" s="216"/>
      <c r="AB866" s="216"/>
      <c r="AC866" s="216"/>
      <c r="AD866" s="216"/>
      <c r="AE866" s="216"/>
      <c r="AF866" s="216"/>
      <c r="AG866" s="216"/>
      <c r="AH866" s="216"/>
      <c r="AI866" s="216"/>
      <c r="AJ866" s="216"/>
      <c r="AK866" s="216"/>
      <c r="AL866" s="216"/>
      <c r="AM866" s="216"/>
      <c r="AN866" s="216"/>
    </row>
    <row r="867">
      <c r="B867" s="267"/>
      <c r="C867" s="266"/>
      <c r="D867" s="266"/>
      <c r="E867" s="266"/>
      <c r="F867" s="266"/>
      <c r="G867" s="266"/>
      <c r="H867" s="266"/>
      <c r="I867" s="266"/>
      <c r="J867" s="266"/>
      <c r="K867" s="266"/>
      <c r="L867" s="266"/>
      <c r="M867" s="266"/>
      <c r="N867" s="266"/>
      <c r="O867" s="266"/>
      <c r="P867" s="266"/>
      <c r="Q867" s="266"/>
      <c r="R867" s="266"/>
      <c r="S867" s="216"/>
      <c r="T867" s="216"/>
      <c r="U867" s="217"/>
      <c r="V867" s="216"/>
      <c r="W867" s="216"/>
      <c r="X867" s="216"/>
      <c r="Y867" s="216"/>
      <c r="Z867" s="216"/>
      <c r="AA867" s="216"/>
      <c r="AB867" s="216"/>
      <c r="AC867" s="216"/>
      <c r="AD867" s="216"/>
      <c r="AE867" s="216"/>
      <c r="AF867" s="216"/>
      <c r="AG867" s="216"/>
      <c r="AH867" s="216"/>
      <c r="AI867" s="216"/>
      <c r="AJ867" s="216"/>
      <c r="AK867" s="216"/>
      <c r="AL867" s="216"/>
      <c r="AM867" s="216"/>
      <c r="AN867" s="216"/>
    </row>
    <row r="868">
      <c r="B868" s="267"/>
      <c r="C868" s="266"/>
      <c r="D868" s="266"/>
      <c r="E868" s="266"/>
      <c r="F868" s="266"/>
      <c r="G868" s="266"/>
      <c r="H868" s="266"/>
      <c r="I868" s="266"/>
      <c r="J868" s="266"/>
      <c r="K868" s="266"/>
      <c r="L868" s="266"/>
      <c r="M868" s="266"/>
      <c r="N868" s="266"/>
      <c r="O868" s="266"/>
      <c r="P868" s="266"/>
      <c r="Q868" s="266"/>
      <c r="R868" s="266"/>
      <c r="S868" s="216"/>
      <c r="T868" s="216"/>
      <c r="U868" s="217"/>
      <c r="V868" s="216"/>
      <c r="W868" s="216"/>
      <c r="X868" s="216"/>
      <c r="Y868" s="216"/>
      <c r="Z868" s="216"/>
      <c r="AA868" s="216"/>
      <c r="AB868" s="216"/>
      <c r="AC868" s="216"/>
      <c r="AD868" s="216"/>
      <c r="AE868" s="216"/>
      <c r="AF868" s="216"/>
      <c r="AG868" s="216"/>
      <c r="AH868" s="216"/>
      <c r="AI868" s="216"/>
      <c r="AJ868" s="216"/>
      <c r="AK868" s="216"/>
      <c r="AL868" s="216"/>
      <c r="AM868" s="216"/>
      <c r="AN868" s="216"/>
    </row>
    <row r="869">
      <c r="B869" s="267"/>
      <c r="C869" s="266"/>
      <c r="D869" s="266"/>
      <c r="E869" s="266"/>
      <c r="F869" s="266"/>
      <c r="G869" s="266"/>
      <c r="H869" s="266"/>
      <c r="I869" s="266"/>
      <c r="J869" s="266"/>
      <c r="K869" s="266"/>
      <c r="L869" s="266"/>
      <c r="M869" s="266"/>
      <c r="N869" s="266"/>
      <c r="O869" s="266"/>
      <c r="P869" s="266"/>
      <c r="Q869" s="266"/>
      <c r="R869" s="266"/>
      <c r="S869" s="216"/>
      <c r="T869" s="216"/>
      <c r="U869" s="217"/>
      <c r="V869" s="216"/>
      <c r="W869" s="216"/>
      <c r="X869" s="216"/>
      <c r="Y869" s="216"/>
      <c r="Z869" s="216"/>
      <c r="AA869" s="216"/>
      <c r="AB869" s="216"/>
      <c r="AC869" s="216"/>
      <c r="AD869" s="216"/>
      <c r="AE869" s="216"/>
      <c r="AF869" s="216"/>
      <c r="AG869" s="216"/>
      <c r="AH869" s="216"/>
      <c r="AI869" s="216"/>
      <c r="AJ869" s="216"/>
      <c r="AK869" s="216"/>
      <c r="AL869" s="216"/>
      <c r="AM869" s="216"/>
      <c r="AN869" s="216"/>
    </row>
    <row r="870">
      <c r="B870" s="267"/>
      <c r="C870" s="266"/>
      <c r="D870" s="266"/>
      <c r="E870" s="266"/>
      <c r="F870" s="266"/>
      <c r="G870" s="266"/>
      <c r="H870" s="266"/>
      <c r="I870" s="266"/>
      <c r="J870" s="266"/>
      <c r="K870" s="266"/>
      <c r="L870" s="266"/>
      <c r="M870" s="266"/>
      <c r="N870" s="266"/>
      <c r="O870" s="266"/>
      <c r="P870" s="266"/>
      <c r="Q870" s="266"/>
      <c r="R870" s="266"/>
      <c r="S870" s="216"/>
      <c r="T870" s="216"/>
      <c r="U870" s="217"/>
      <c r="V870" s="216"/>
      <c r="W870" s="216"/>
      <c r="X870" s="216"/>
      <c r="Y870" s="216"/>
      <c r="Z870" s="216"/>
      <c r="AA870" s="216"/>
      <c r="AB870" s="216"/>
      <c r="AC870" s="216"/>
      <c r="AD870" s="216"/>
      <c r="AE870" s="216"/>
      <c r="AF870" s="216"/>
      <c r="AG870" s="216"/>
      <c r="AH870" s="216"/>
      <c r="AI870" s="216"/>
      <c r="AJ870" s="216"/>
      <c r="AK870" s="216"/>
      <c r="AL870" s="216"/>
      <c r="AM870" s="216"/>
      <c r="AN870" s="216"/>
    </row>
    <row r="871">
      <c r="B871" s="267"/>
      <c r="C871" s="266"/>
      <c r="D871" s="266"/>
      <c r="E871" s="266"/>
      <c r="F871" s="266"/>
      <c r="G871" s="266"/>
      <c r="H871" s="266"/>
      <c r="I871" s="266"/>
      <c r="J871" s="266"/>
      <c r="K871" s="266"/>
      <c r="L871" s="266"/>
      <c r="M871" s="266"/>
      <c r="N871" s="266"/>
      <c r="O871" s="266"/>
      <c r="P871" s="266"/>
      <c r="Q871" s="266"/>
      <c r="R871" s="266"/>
      <c r="S871" s="216"/>
      <c r="T871" s="216"/>
      <c r="U871" s="217"/>
      <c r="V871" s="216"/>
      <c r="W871" s="216"/>
      <c r="X871" s="216"/>
      <c r="Y871" s="216"/>
      <c r="Z871" s="216"/>
      <c r="AA871" s="216"/>
      <c r="AB871" s="216"/>
      <c r="AC871" s="216"/>
      <c r="AD871" s="216"/>
      <c r="AE871" s="216"/>
      <c r="AF871" s="216"/>
      <c r="AG871" s="216"/>
      <c r="AH871" s="216"/>
      <c r="AI871" s="216"/>
      <c r="AJ871" s="216"/>
      <c r="AK871" s="216"/>
      <c r="AL871" s="216"/>
      <c r="AM871" s="216"/>
      <c r="AN871" s="216"/>
    </row>
    <row r="872">
      <c r="B872" s="267"/>
      <c r="C872" s="266"/>
      <c r="D872" s="266"/>
      <c r="E872" s="266"/>
      <c r="F872" s="266"/>
      <c r="G872" s="266"/>
      <c r="H872" s="266"/>
      <c r="I872" s="266"/>
      <c r="J872" s="266"/>
      <c r="K872" s="266"/>
      <c r="L872" s="266"/>
      <c r="M872" s="266"/>
      <c r="N872" s="266"/>
      <c r="O872" s="266"/>
      <c r="P872" s="266"/>
      <c r="Q872" s="266"/>
      <c r="R872" s="266"/>
      <c r="S872" s="216"/>
      <c r="T872" s="216"/>
      <c r="U872" s="217"/>
      <c r="V872" s="216"/>
      <c r="W872" s="216"/>
      <c r="X872" s="216"/>
      <c r="Y872" s="216"/>
      <c r="Z872" s="216"/>
      <c r="AA872" s="216"/>
      <c r="AB872" s="216"/>
      <c r="AC872" s="216"/>
      <c r="AD872" s="216"/>
      <c r="AE872" s="216"/>
      <c r="AF872" s="216"/>
      <c r="AG872" s="216"/>
      <c r="AH872" s="216"/>
      <c r="AI872" s="216"/>
      <c r="AJ872" s="216"/>
      <c r="AK872" s="216"/>
      <c r="AL872" s="216"/>
      <c r="AM872" s="216"/>
      <c r="AN872" s="216"/>
    </row>
    <row r="873">
      <c r="B873" s="267"/>
      <c r="C873" s="266"/>
      <c r="D873" s="266"/>
      <c r="E873" s="266"/>
      <c r="F873" s="266"/>
      <c r="G873" s="266"/>
      <c r="H873" s="266"/>
      <c r="I873" s="266"/>
      <c r="J873" s="266"/>
      <c r="K873" s="266"/>
      <c r="L873" s="266"/>
      <c r="M873" s="266"/>
      <c r="N873" s="266"/>
      <c r="O873" s="266"/>
      <c r="P873" s="266"/>
      <c r="Q873" s="266"/>
      <c r="R873" s="266"/>
      <c r="S873" s="216"/>
      <c r="T873" s="216"/>
      <c r="U873" s="217"/>
      <c r="V873" s="216"/>
      <c r="W873" s="216"/>
      <c r="X873" s="216"/>
      <c r="Y873" s="216"/>
      <c r="Z873" s="216"/>
      <c r="AA873" s="216"/>
      <c r="AB873" s="216"/>
      <c r="AC873" s="216"/>
      <c r="AD873" s="216"/>
      <c r="AE873" s="216"/>
      <c r="AF873" s="216"/>
      <c r="AG873" s="216"/>
      <c r="AH873" s="216"/>
      <c r="AI873" s="216"/>
      <c r="AJ873" s="216"/>
      <c r="AK873" s="216"/>
      <c r="AL873" s="216"/>
      <c r="AM873" s="216"/>
      <c r="AN873" s="216"/>
    </row>
    <row r="874">
      <c r="B874" s="267"/>
      <c r="C874" s="266"/>
      <c r="D874" s="266"/>
      <c r="E874" s="266"/>
      <c r="F874" s="266"/>
      <c r="G874" s="266"/>
      <c r="H874" s="266"/>
      <c r="I874" s="266"/>
      <c r="J874" s="266"/>
      <c r="K874" s="266"/>
      <c r="L874" s="266"/>
      <c r="M874" s="266"/>
      <c r="N874" s="266"/>
      <c r="O874" s="266"/>
      <c r="P874" s="266"/>
      <c r="Q874" s="266"/>
      <c r="R874" s="266"/>
      <c r="S874" s="216"/>
      <c r="T874" s="216"/>
      <c r="U874" s="217"/>
      <c r="V874" s="216"/>
      <c r="W874" s="216"/>
      <c r="X874" s="216"/>
      <c r="Y874" s="216"/>
      <c r="Z874" s="216"/>
      <c r="AA874" s="216"/>
      <c r="AB874" s="216"/>
      <c r="AC874" s="216"/>
      <c r="AD874" s="216"/>
      <c r="AE874" s="216"/>
      <c r="AF874" s="216"/>
      <c r="AG874" s="216"/>
      <c r="AH874" s="216"/>
      <c r="AI874" s="216"/>
      <c r="AJ874" s="216"/>
      <c r="AK874" s="216"/>
      <c r="AL874" s="216"/>
      <c r="AM874" s="216"/>
      <c r="AN874" s="216"/>
    </row>
    <row r="875">
      <c r="B875" s="267"/>
      <c r="C875" s="266"/>
      <c r="D875" s="266"/>
      <c r="E875" s="266"/>
      <c r="F875" s="266"/>
      <c r="G875" s="266"/>
      <c r="H875" s="266"/>
      <c r="I875" s="266"/>
      <c r="J875" s="266"/>
      <c r="K875" s="266"/>
      <c r="L875" s="266"/>
      <c r="M875" s="266"/>
      <c r="N875" s="266"/>
      <c r="O875" s="266"/>
      <c r="P875" s="266"/>
      <c r="Q875" s="266"/>
      <c r="R875" s="266"/>
      <c r="S875" s="216"/>
      <c r="T875" s="216"/>
      <c r="U875" s="217"/>
      <c r="V875" s="216"/>
      <c r="W875" s="216"/>
      <c r="X875" s="216"/>
      <c r="Y875" s="216"/>
      <c r="Z875" s="216"/>
      <c r="AA875" s="216"/>
      <c r="AB875" s="216"/>
      <c r="AC875" s="216"/>
      <c r="AD875" s="216"/>
      <c r="AE875" s="216"/>
      <c r="AF875" s="216"/>
      <c r="AG875" s="216"/>
      <c r="AH875" s="216"/>
      <c r="AI875" s="216"/>
      <c r="AJ875" s="216"/>
      <c r="AK875" s="216"/>
      <c r="AL875" s="216"/>
      <c r="AM875" s="216"/>
      <c r="AN875" s="216"/>
    </row>
    <row r="876">
      <c r="B876" s="267"/>
      <c r="C876" s="266"/>
      <c r="D876" s="266"/>
      <c r="E876" s="266"/>
      <c r="F876" s="266"/>
      <c r="G876" s="266"/>
      <c r="H876" s="266"/>
      <c r="I876" s="266"/>
      <c r="J876" s="266"/>
      <c r="K876" s="266"/>
      <c r="L876" s="266"/>
      <c r="M876" s="266"/>
      <c r="N876" s="266"/>
      <c r="O876" s="266"/>
      <c r="P876" s="266"/>
      <c r="Q876" s="266"/>
      <c r="R876" s="266"/>
      <c r="S876" s="216"/>
      <c r="T876" s="216"/>
      <c r="U876" s="217"/>
      <c r="V876" s="216"/>
      <c r="W876" s="216"/>
      <c r="X876" s="216"/>
      <c r="Y876" s="216"/>
      <c r="Z876" s="216"/>
      <c r="AA876" s="216"/>
      <c r="AB876" s="216"/>
      <c r="AC876" s="216"/>
      <c r="AD876" s="216"/>
      <c r="AE876" s="216"/>
      <c r="AF876" s="216"/>
      <c r="AG876" s="216"/>
      <c r="AH876" s="216"/>
      <c r="AI876" s="216"/>
      <c r="AJ876" s="216"/>
      <c r="AK876" s="216"/>
      <c r="AL876" s="216"/>
      <c r="AM876" s="216"/>
      <c r="AN876" s="216"/>
    </row>
    <row r="877">
      <c r="B877" s="267"/>
      <c r="C877" s="266"/>
      <c r="D877" s="266"/>
      <c r="E877" s="266"/>
      <c r="F877" s="266"/>
      <c r="G877" s="266"/>
      <c r="H877" s="266"/>
      <c r="I877" s="266"/>
      <c r="J877" s="266"/>
      <c r="K877" s="266"/>
      <c r="L877" s="266"/>
      <c r="M877" s="266"/>
      <c r="N877" s="266"/>
      <c r="O877" s="266"/>
      <c r="P877" s="266"/>
      <c r="Q877" s="266"/>
      <c r="R877" s="266"/>
      <c r="S877" s="216"/>
      <c r="T877" s="216"/>
      <c r="U877" s="217"/>
      <c r="V877" s="216"/>
      <c r="W877" s="216"/>
      <c r="X877" s="216"/>
      <c r="Y877" s="216"/>
      <c r="Z877" s="216"/>
      <c r="AA877" s="216"/>
      <c r="AB877" s="216"/>
      <c r="AC877" s="216"/>
      <c r="AD877" s="216"/>
      <c r="AE877" s="216"/>
      <c r="AF877" s="216"/>
      <c r="AG877" s="216"/>
      <c r="AH877" s="216"/>
      <c r="AI877" s="216"/>
      <c r="AJ877" s="216"/>
      <c r="AK877" s="216"/>
      <c r="AL877" s="216"/>
      <c r="AM877" s="216"/>
      <c r="AN877" s="216"/>
    </row>
    <row r="878">
      <c r="B878" s="267"/>
      <c r="C878" s="266"/>
      <c r="D878" s="266"/>
      <c r="E878" s="266"/>
      <c r="F878" s="266"/>
      <c r="G878" s="266"/>
      <c r="H878" s="266"/>
      <c r="I878" s="266"/>
      <c r="J878" s="266"/>
      <c r="K878" s="266"/>
      <c r="L878" s="266"/>
      <c r="M878" s="266"/>
      <c r="N878" s="266"/>
      <c r="O878" s="266"/>
      <c r="P878" s="266"/>
      <c r="Q878" s="266"/>
      <c r="R878" s="266"/>
      <c r="S878" s="216"/>
      <c r="T878" s="216"/>
      <c r="U878" s="217"/>
      <c r="V878" s="216"/>
      <c r="W878" s="216"/>
      <c r="X878" s="216"/>
      <c r="Y878" s="216"/>
      <c r="Z878" s="216"/>
      <c r="AA878" s="216"/>
      <c r="AB878" s="216"/>
      <c r="AC878" s="216"/>
      <c r="AD878" s="216"/>
      <c r="AE878" s="216"/>
      <c r="AF878" s="216"/>
      <c r="AG878" s="216"/>
      <c r="AH878" s="216"/>
      <c r="AI878" s="216"/>
      <c r="AJ878" s="216"/>
      <c r="AK878" s="216"/>
      <c r="AL878" s="216"/>
      <c r="AM878" s="216"/>
      <c r="AN878" s="216"/>
    </row>
    <row r="879">
      <c r="B879" s="267"/>
      <c r="C879" s="266"/>
      <c r="D879" s="266"/>
      <c r="E879" s="266"/>
      <c r="F879" s="266"/>
      <c r="G879" s="266"/>
      <c r="H879" s="266"/>
      <c r="I879" s="266"/>
      <c r="J879" s="266"/>
      <c r="K879" s="266"/>
      <c r="L879" s="266"/>
      <c r="M879" s="266"/>
      <c r="N879" s="266"/>
      <c r="O879" s="266"/>
      <c r="P879" s="266"/>
      <c r="Q879" s="266"/>
      <c r="R879" s="266"/>
      <c r="S879" s="216"/>
      <c r="T879" s="216"/>
      <c r="U879" s="217"/>
      <c r="V879" s="216"/>
      <c r="W879" s="216"/>
      <c r="X879" s="216"/>
      <c r="Y879" s="216"/>
      <c r="Z879" s="216"/>
      <c r="AA879" s="216"/>
      <c r="AB879" s="216"/>
      <c r="AC879" s="216"/>
      <c r="AD879" s="216"/>
      <c r="AE879" s="216"/>
      <c r="AF879" s="216"/>
      <c r="AG879" s="216"/>
      <c r="AH879" s="216"/>
      <c r="AI879" s="216"/>
      <c r="AJ879" s="216"/>
      <c r="AK879" s="216"/>
      <c r="AL879" s="216"/>
      <c r="AM879" s="216"/>
      <c r="AN879" s="216"/>
    </row>
    <row r="880">
      <c r="B880" s="267"/>
      <c r="C880" s="266"/>
      <c r="D880" s="266"/>
      <c r="E880" s="266"/>
      <c r="F880" s="266"/>
      <c r="G880" s="266"/>
      <c r="H880" s="266"/>
      <c r="I880" s="266"/>
      <c r="J880" s="266"/>
      <c r="K880" s="266"/>
      <c r="L880" s="266"/>
      <c r="M880" s="266"/>
      <c r="N880" s="266"/>
      <c r="O880" s="266"/>
      <c r="P880" s="266"/>
      <c r="Q880" s="266"/>
      <c r="R880" s="266"/>
      <c r="S880" s="216"/>
      <c r="T880" s="216"/>
      <c r="U880" s="217"/>
      <c r="V880" s="216"/>
      <c r="W880" s="216"/>
      <c r="X880" s="216"/>
      <c r="Y880" s="216"/>
      <c r="Z880" s="216"/>
      <c r="AA880" s="216"/>
      <c r="AB880" s="216"/>
      <c r="AC880" s="216"/>
      <c r="AD880" s="216"/>
      <c r="AE880" s="216"/>
      <c r="AF880" s="216"/>
      <c r="AG880" s="216"/>
      <c r="AH880" s="216"/>
      <c r="AI880" s="216"/>
      <c r="AJ880" s="216"/>
      <c r="AK880" s="216"/>
      <c r="AL880" s="216"/>
      <c r="AM880" s="216"/>
      <c r="AN880" s="216"/>
    </row>
    <row r="881">
      <c r="B881" s="267"/>
      <c r="C881" s="266"/>
      <c r="D881" s="266"/>
      <c r="E881" s="266"/>
      <c r="F881" s="266"/>
      <c r="G881" s="266"/>
      <c r="H881" s="266"/>
      <c r="I881" s="266"/>
      <c r="J881" s="266"/>
      <c r="K881" s="266"/>
      <c r="L881" s="266"/>
      <c r="M881" s="266"/>
      <c r="N881" s="266"/>
      <c r="O881" s="266"/>
      <c r="P881" s="266"/>
      <c r="Q881" s="266"/>
      <c r="R881" s="266"/>
      <c r="S881" s="216"/>
      <c r="T881" s="216"/>
      <c r="U881" s="217"/>
      <c r="V881" s="216"/>
      <c r="W881" s="216"/>
      <c r="X881" s="216"/>
      <c r="Y881" s="216"/>
      <c r="Z881" s="216"/>
      <c r="AA881" s="216"/>
      <c r="AB881" s="216"/>
      <c r="AC881" s="216"/>
      <c r="AD881" s="216"/>
      <c r="AE881" s="216"/>
      <c r="AF881" s="216"/>
      <c r="AG881" s="216"/>
      <c r="AH881" s="216"/>
      <c r="AI881" s="216"/>
      <c r="AJ881" s="216"/>
      <c r="AK881" s="216"/>
      <c r="AL881" s="216"/>
      <c r="AM881" s="216"/>
      <c r="AN881" s="216"/>
    </row>
    <row r="882">
      <c r="B882" s="267"/>
      <c r="C882" s="266"/>
      <c r="D882" s="266"/>
      <c r="E882" s="266"/>
      <c r="F882" s="266"/>
      <c r="G882" s="266"/>
      <c r="H882" s="266"/>
      <c r="I882" s="266"/>
      <c r="J882" s="266"/>
      <c r="K882" s="266"/>
      <c r="L882" s="266"/>
      <c r="M882" s="266"/>
      <c r="N882" s="266"/>
      <c r="O882" s="266"/>
      <c r="P882" s="266"/>
      <c r="Q882" s="266"/>
      <c r="R882" s="266"/>
      <c r="S882" s="216"/>
      <c r="T882" s="216"/>
      <c r="U882" s="217"/>
      <c r="V882" s="216"/>
      <c r="W882" s="216"/>
      <c r="X882" s="216"/>
      <c r="Y882" s="216"/>
      <c r="Z882" s="216"/>
      <c r="AA882" s="216"/>
      <c r="AB882" s="216"/>
      <c r="AC882" s="216"/>
      <c r="AD882" s="216"/>
      <c r="AE882" s="216"/>
      <c r="AF882" s="216"/>
      <c r="AG882" s="216"/>
      <c r="AH882" s="216"/>
      <c r="AI882" s="216"/>
      <c r="AJ882" s="216"/>
      <c r="AK882" s="216"/>
      <c r="AL882" s="216"/>
      <c r="AM882" s="216"/>
      <c r="AN882" s="216"/>
    </row>
    <row r="883">
      <c r="B883" s="267"/>
      <c r="C883" s="266"/>
      <c r="D883" s="266"/>
      <c r="E883" s="266"/>
      <c r="F883" s="266"/>
      <c r="G883" s="266"/>
      <c r="H883" s="266"/>
      <c r="I883" s="266"/>
      <c r="J883" s="266"/>
      <c r="K883" s="266"/>
      <c r="L883" s="266"/>
      <c r="M883" s="266"/>
      <c r="N883" s="266"/>
      <c r="O883" s="266"/>
      <c r="P883" s="266"/>
      <c r="Q883" s="266"/>
      <c r="R883" s="266"/>
      <c r="S883" s="216"/>
      <c r="T883" s="216"/>
      <c r="U883" s="217"/>
      <c r="V883" s="216"/>
      <c r="W883" s="216"/>
      <c r="X883" s="216"/>
      <c r="Y883" s="216"/>
      <c r="Z883" s="216"/>
      <c r="AA883" s="216"/>
      <c r="AB883" s="216"/>
      <c r="AC883" s="216"/>
      <c r="AD883" s="216"/>
      <c r="AE883" s="216"/>
      <c r="AF883" s="216"/>
      <c r="AG883" s="216"/>
      <c r="AH883" s="216"/>
      <c r="AI883" s="216"/>
      <c r="AJ883" s="216"/>
      <c r="AK883" s="216"/>
      <c r="AL883" s="216"/>
      <c r="AM883" s="216"/>
      <c r="AN883" s="216"/>
    </row>
    <row r="884">
      <c r="B884" s="267"/>
      <c r="C884" s="266"/>
      <c r="D884" s="266"/>
      <c r="E884" s="266"/>
      <c r="F884" s="266"/>
      <c r="G884" s="266"/>
      <c r="H884" s="266"/>
      <c r="I884" s="266"/>
      <c r="J884" s="266"/>
      <c r="K884" s="266"/>
      <c r="L884" s="266"/>
      <c r="M884" s="266"/>
      <c r="N884" s="266"/>
      <c r="O884" s="266"/>
      <c r="P884" s="266"/>
      <c r="Q884" s="266"/>
      <c r="R884" s="266"/>
      <c r="S884" s="216"/>
      <c r="T884" s="216"/>
      <c r="U884" s="217"/>
      <c r="V884" s="216"/>
      <c r="W884" s="216"/>
      <c r="X884" s="216"/>
      <c r="Y884" s="216"/>
      <c r="Z884" s="216"/>
      <c r="AA884" s="216"/>
      <c r="AB884" s="216"/>
      <c r="AC884" s="216"/>
      <c r="AD884" s="216"/>
      <c r="AE884" s="216"/>
      <c r="AF884" s="216"/>
      <c r="AG884" s="216"/>
      <c r="AH884" s="216"/>
      <c r="AI884" s="216"/>
      <c r="AJ884" s="216"/>
      <c r="AK884" s="216"/>
      <c r="AL884" s="216"/>
      <c r="AM884" s="216"/>
      <c r="AN884" s="216"/>
    </row>
    <row r="885">
      <c r="B885" s="267"/>
      <c r="C885" s="266"/>
      <c r="D885" s="266"/>
      <c r="E885" s="266"/>
      <c r="F885" s="266"/>
      <c r="G885" s="266"/>
      <c r="H885" s="266"/>
      <c r="I885" s="266"/>
      <c r="J885" s="266"/>
      <c r="K885" s="266"/>
      <c r="L885" s="266"/>
      <c r="M885" s="266"/>
      <c r="N885" s="266"/>
      <c r="O885" s="266"/>
      <c r="P885" s="266"/>
      <c r="Q885" s="266"/>
      <c r="R885" s="266"/>
      <c r="S885" s="216"/>
      <c r="T885" s="216"/>
      <c r="U885" s="217"/>
      <c r="V885" s="216"/>
      <c r="W885" s="216"/>
      <c r="X885" s="216"/>
      <c r="Y885" s="216"/>
      <c r="Z885" s="216"/>
      <c r="AA885" s="216"/>
      <c r="AB885" s="216"/>
      <c r="AC885" s="216"/>
      <c r="AD885" s="216"/>
      <c r="AE885" s="216"/>
      <c r="AF885" s="216"/>
      <c r="AG885" s="216"/>
      <c r="AH885" s="216"/>
      <c r="AI885" s="216"/>
      <c r="AJ885" s="216"/>
      <c r="AK885" s="216"/>
      <c r="AL885" s="216"/>
      <c r="AM885" s="216"/>
      <c r="AN885" s="216"/>
    </row>
    <row r="886">
      <c r="B886" s="267"/>
      <c r="C886" s="266"/>
      <c r="D886" s="266"/>
      <c r="E886" s="266"/>
      <c r="F886" s="266"/>
      <c r="G886" s="266"/>
      <c r="H886" s="266"/>
      <c r="I886" s="266"/>
      <c r="J886" s="266"/>
      <c r="K886" s="266"/>
      <c r="L886" s="266"/>
      <c r="M886" s="266"/>
      <c r="N886" s="266"/>
      <c r="O886" s="266"/>
      <c r="P886" s="266"/>
      <c r="Q886" s="266"/>
      <c r="R886" s="266"/>
      <c r="S886" s="216"/>
      <c r="T886" s="216"/>
      <c r="U886" s="217"/>
      <c r="V886" s="216"/>
      <c r="W886" s="216"/>
      <c r="X886" s="216"/>
      <c r="Y886" s="216"/>
      <c r="Z886" s="216"/>
      <c r="AA886" s="216"/>
      <c r="AB886" s="216"/>
      <c r="AC886" s="216"/>
      <c r="AD886" s="216"/>
      <c r="AE886" s="216"/>
      <c r="AF886" s="216"/>
      <c r="AG886" s="216"/>
      <c r="AH886" s="216"/>
      <c r="AI886" s="216"/>
      <c r="AJ886" s="216"/>
      <c r="AK886" s="216"/>
      <c r="AL886" s="216"/>
      <c r="AM886" s="216"/>
      <c r="AN886" s="216"/>
    </row>
    <row r="887">
      <c r="B887" s="267"/>
      <c r="C887" s="266"/>
      <c r="D887" s="266"/>
      <c r="E887" s="266"/>
      <c r="F887" s="266"/>
      <c r="G887" s="266"/>
      <c r="H887" s="266"/>
      <c r="I887" s="266"/>
      <c r="J887" s="266"/>
      <c r="K887" s="266"/>
      <c r="L887" s="266"/>
      <c r="M887" s="266"/>
      <c r="N887" s="266"/>
      <c r="O887" s="266"/>
      <c r="P887" s="266"/>
      <c r="Q887" s="266"/>
      <c r="R887" s="266"/>
      <c r="S887" s="216"/>
      <c r="T887" s="216"/>
      <c r="U887" s="217"/>
      <c r="V887" s="216"/>
      <c r="W887" s="216"/>
      <c r="X887" s="216"/>
      <c r="Y887" s="216"/>
      <c r="Z887" s="216"/>
      <c r="AA887" s="216"/>
      <c r="AB887" s="216"/>
      <c r="AC887" s="216"/>
      <c r="AD887" s="216"/>
      <c r="AE887" s="216"/>
      <c r="AF887" s="216"/>
      <c r="AG887" s="216"/>
      <c r="AH887" s="216"/>
      <c r="AI887" s="216"/>
      <c r="AJ887" s="216"/>
      <c r="AK887" s="216"/>
      <c r="AL887" s="216"/>
      <c r="AM887" s="216"/>
      <c r="AN887" s="216"/>
    </row>
    <row r="888">
      <c r="B888" s="267"/>
      <c r="C888" s="266"/>
      <c r="D888" s="266"/>
      <c r="E888" s="266"/>
      <c r="F888" s="266"/>
      <c r="G888" s="266"/>
      <c r="H888" s="266"/>
      <c r="I888" s="266"/>
      <c r="J888" s="266"/>
      <c r="K888" s="266"/>
      <c r="L888" s="266"/>
      <c r="M888" s="266"/>
      <c r="N888" s="266"/>
      <c r="O888" s="266"/>
      <c r="P888" s="266"/>
      <c r="Q888" s="266"/>
      <c r="R888" s="266"/>
      <c r="S888" s="216"/>
      <c r="T888" s="216"/>
      <c r="U888" s="217"/>
      <c r="V888" s="216"/>
      <c r="W888" s="216"/>
      <c r="X888" s="216"/>
      <c r="Y888" s="216"/>
      <c r="Z888" s="216"/>
      <c r="AA888" s="216"/>
      <c r="AB888" s="216"/>
      <c r="AC888" s="216"/>
      <c r="AD888" s="216"/>
      <c r="AE888" s="216"/>
      <c r="AF888" s="216"/>
      <c r="AG888" s="216"/>
      <c r="AH888" s="216"/>
      <c r="AI888" s="216"/>
      <c r="AJ888" s="216"/>
      <c r="AK888" s="216"/>
      <c r="AL888" s="216"/>
      <c r="AM888" s="216"/>
      <c r="AN888" s="216"/>
    </row>
    <row r="889">
      <c r="B889" s="267"/>
      <c r="C889" s="266"/>
      <c r="D889" s="266"/>
      <c r="E889" s="266"/>
      <c r="F889" s="266"/>
      <c r="G889" s="266"/>
      <c r="H889" s="266"/>
      <c r="I889" s="266"/>
      <c r="J889" s="266"/>
      <c r="K889" s="266"/>
      <c r="L889" s="266"/>
      <c r="M889" s="266"/>
      <c r="N889" s="266"/>
      <c r="O889" s="266"/>
      <c r="P889" s="266"/>
      <c r="Q889" s="266"/>
      <c r="R889" s="266"/>
      <c r="S889" s="216"/>
      <c r="T889" s="216"/>
      <c r="U889" s="217"/>
      <c r="V889" s="216"/>
      <c r="W889" s="216"/>
      <c r="X889" s="216"/>
      <c r="Y889" s="216"/>
      <c r="Z889" s="216"/>
      <c r="AA889" s="216"/>
      <c r="AB889" s="216"/>
      <c r="AC889" s="216"/>
      <c r="AD889" s="216"/>
      <c r="AE889" s="216"/>
      <c r="AF889" s="216"/>
      <c r="AG889" s="216"/>
      <c r="AH889" s="216"/>
      <c r="AI889" s="216"/>
      <c r="AJ889" s="216"/>
      <c r="AK889" s="216"/>
      <c r="AL889" s="216"/>
      <c r="AM889" s="216"/>
      <c r="AN889" s="216"/>
    </row>
    <row r="890">
      <c r="B890" s="267"/>
      <c r="C890" s="266"/>
      <c r="D890" s="266"/>
      <c r="E890" s="266"/>
      <c r="F890" s="266"/>
      <c r="G890" s="266"/>
      <c r="H890" s="266"/>
      <c r="I890" s="266"/>
      <c r="J890" s="266"/>
      <c r="K890" s="266"/>
      <c r="L890" s="266"/>
      <c r="M890" s="266"/>
      <c r="N890" s="266"/>
      <c r="O890" s="266"/>
      <c r="P890" s="266"/>
      <c r="Q890" s="266"/>
      <c r="R890" s="266"/>
      <c r="S890" s="216"/>
      <c r="T890" s="216"/>
      <c r="U890" s="217"/>
      <c r="V890" s="216"/>
      <c r="W890" s="216"/>
      <c r="X890" s="216"/>
      <c r="Y890" s="216"/>
      <c r="Z890" s="216"/>
      <c r="AA890" s="216"/>
      <c r="AB890" s="216"/>
      <c r="AC890" s="216"/>
      <c r="AD890" s="216"/>
      <c r="AE890" s="216"/>
      <c r="AF890" s="216"/>
      <c r="AG890" s="216"/>
      <c r="AH890" s="216"/>
      <c r="AI890" s="216"/>
      <c r="AJ890" s="216"/>
      <c r="AK890" s="216"/>
      <c r="AL890" s="216"/>
      <c r="AM890" s="216"/>
      <c r="AN890" s="216"/>
    </row>
    <row r="891">
      <c r="B891" s="267"/>
      <c r="C891" s="266"/>
      <c r="D891" s="266"/>
      <c r="E891" s="266"/>
      <c r="F891" s="266"/>
      <c r="G891" s="266"/>
      <c r="H891" s="266"/>
      <c r="I891" s="266"/>
      <c r="J891" s="266"/>
      <c r="K891" s="266"/>
      <c r="L891" s="266"/>
      <c r="M891" s="266"/>
      <c r="N891" s="266"/>
      <c r="O891" s="266"/>
      <c r="P891" s="266"/>
      <c r="Q891" s="266"/>
      <c r="R891" s="266"/>
      <c r="S891" s="216"/>
      <c r="T891" s="216"/>
      <c r="U891" s="217"/>
      <c r="V891" s="216"/>
      <c r="W891" s="216"/>
      <c r="X891" s="216"/>
      <c r="Y891" s="216"/>
      <c r="Z891" s="216"/>
      <c r="AA891" s="216"/>
      <c r="AB891" s="216"/>
      <c r="AC891" s="216"/>
      <c r="AD891" s="216"/>
      <c r="AE891" s="216"/>
      <c r="AF891" s="216"/>
      <c r="AG891" s="216"/>
      <c r="AH891" s="216"/>
      <c r="AI891" s="216"/>
      <c r="AJ891" s="216"/>
      <c r="AK891" s="216"/>
      <c r="AL891" s="216"/>
      <c r="AM891" s="216"/>
      <c r="AN891" s="216"/>
    </row>
    <row r="892">
      <c r="B892" s="267"/>
      <c r="C892" s="266"/>
      <c r="D892" s="266"/>
      <c r="E892" s="266"/>
      <c r="F892" s="266"/>
      <c r="G892" s="266"/>
      <c r="H892" s="266"/>
      <c r="I892" s="266"/>
      <c r="J892" s="266"/>
      <c r="K892" s="266"/>
      <c r="L892" s="266"/>
      <c r="M892" s="266"/>
      <c r="N892" s="266"/>
      <c r="O892" s="266"/>
      <c r="P892" s="266"/>
      <c r="Q892" s="266"/>
      <c r="R892" s="266"/>
      <c r="S892" s="216"/>
      <c r="T892" s="216"/>
      <c r="U892" s="217"/>
      <c r="V892" s="216"/>
      <c r="W892" s="216"/>
      <c r="X892" s="216"/>
      <c r="Y892" s="216"/>
      <c r="Z892" s="216"/>
      <c r="AA892" s="216"/>
      <c r="AB892" s="216"/>
      <c r="AC892" s="216"/>
      <c r="AD892" s="216"/>
      <c r="AE892" s="216"/>
      <c r="AF892" s="216"/>
      <c r="AG892" s="216"/>
      <c r="AH892" s="216"/>
      <c r="AI892" s="216"/>
      <c r="AJ892" s="216"/>
      <c r="AK892" s="216"/>
      <c r="AL892" s="216"/>
      <c r="AM892" s="216"/>
      <c r="AN892" s="216"/>
    </row>
    <row r="893">
      <c r="B893" s="267"/>
      <c r="C893" s="266"/>
      <c r="D893" s="266"/>
      <c r="E893" s="266"/>
      <c r="F893" s="266"/>
      <c r="G893" s="266"/>
      <c r="H893" s="266"/>
      <c r="I893" s="266"/>
      <c r="J893" s="266"/>
      <c r="K893" s="266"/>
      <c r="L893" s="266"/>
      <c r="M893" s="266"/>
      <c r="N893" s="266"/>
      <c r="O893" s="266"/>
      <c r="P893" s="266"/>
      <c r="Q893" s="266"/>
      <c r="R893" s="266"/>
      <c r="S893" s="216"/>
      <c r="T893" s="216"/>
      <c r="U893" s="217"/>
      <c r="V893" s="216"/>
      <c r="W893" s="216"/>
      <c r="X893" s="216"/>
      <c r="Y893" s="216"/>
      <c r="Z893" s="216"/>
      <c r="AA893" s="216"/>
      <c r="AB893" s="216"/>
      <c r="AC893" s="216"/>
      <c r="AD893" s="216"/>
      <c r="AE893" s="216"/>
      <c r="AF893" s="216"/>
      <c r="AG893" s="216"/>
      <c r="AH893" s="216"/>
      <c r="AI893" s="216"/>
      <c r="AJ893" s="216"/>
      <c r="AK893" s="216"/>
      <c r="AL893" s="216"/>
      <c r="AM893" s="216"/>
      <c r="AN893" s="216"/>
    </row>
    <row r="894">
      <c r="B894" s="267"/>
      <c r="C894" s="266"/>
      <c r="D894" s="266"/>
      <c r="E894" s="266"/>
      <c r="F894" s="266"/>
      <c r="G894" s="266"/>
      <c r="H894" s="266"/>
      <c r="I894" s="266"/>
      <c r="J894" s="266"/>
      <c r="K894" s="266"/>
      <c r="L894" s="266"/>
      <c r="M894" s="266"/>
      <c r="N894" s="266"/>
      <c r="O894" s="266"/>
      <c r="P894" s="266"/>
      <c r="Q894" s="266"/>
      <c r="R894" s="266"/>
      <c r="S894" s="216"/>
      <c r="T894" s="216"/>
      <c r="U894" s="217"/>
      <c r="V894" s="216"/>
      <c r="W894" s="216"/>
      <c r="X894" s="216"/>
      <c r="Y894" s="216"/>
      <c r="Z894" s="216"/>
      <c r="AA894" s="216"/>
      <c r="AB894" s="216"/>
      <c r="AC894" s="216"/>
      <c r="AD894" s="216"/>
      <c r="AE894" s="216"/>
      <c r="AF894" s="216"/>
      <c r="AG894" s="216"/>
      <c r="AH894" s="216"/>
      <c r="AI894" s="216"/>
      <c r="AJ894" s="216"/>
      <c r="AK894" s="216"/>
      <c r="AL894" s="216"/>
      <c r="AM894" s="216"/>
      <c r="AN894" s="216"/>
    </row>
    <row r="895">
      <c r="B895" s="267"/>
      <c r="C895" s="266"/>
      <c r="D895" s="266"/>
      <c r="E895" s="266"/>
      <c r="F895" s="266"/>
      <c r="G895" s="266"/>
      <c r="H895" s="266"/>
      <c r="I895" s="266"/>
      <c r="J895" s="266"/>
      <c r="K895" s="266"/>
      <c r="L895" s="266"/>
      <c r="M895" s="266"/>
      <c r="N895" s="266"/>
      <c r="O895" s="266"/>
      <c r="P895" s="266"/>
      <c r="Q895" s="266"/>
      <c r="R895" s="266"/>
      <c r="S895" s="216"/>
      <c r="T895" s="216"/>
      <c r="U895" s="217"/>
      <c r="V895" s="216"/>
      <c r="W895" s="216"/>
      <c r="X895" s="216"/>
      <c r="Y895" s="216"/>
      <c r="Z895" s="216"/>
      <c r="AA895" s="216"/>
      <c r="AB895" s="216"/>
      <c r="AC895" s="216"/>
      <c r="AD895" s="216"/>
      <c r="AE895" s="216"/>
      <c r="AF895" s="216"/>
      <c r="AG895" s="216"/>
      <c r="AH895" s="216"/>
      <c r="AI895" s="216"/>
      <c r="AJ895" s="216"/>
      <c r="AK895" s="216"/>
      <c r="AL895" s="216"/>
      <c r="AM895" s="216"/>
      <c r="AN895" s="216"/>
    </row>
    <row r="896">
      <c r="B896" s="267"/>
      <c r="C896" s="266"/>
      <c r="D896" s="266"/>
      <c r="E896" s="266"/>
      <c r="F896" s="266"/>
      <c r="G896" s="266"/>
      <c r="H896" s="266"/>
      <c r="I896" s="266"/>
      <c r="J896" s="266"/>
      <c r="K896" s="266"/>
      <c r="L896" s="266"/>
      <c r="M896" s="266"/>
      <c r="N896" s="266"/>
      <c r="O896" s="266"/>
      <c r="P896" s="266"/>
      <c r="Q896" s="266"/>
      <c r="R896" s="266"/>
      <c r="S896" s="216"/>
      <c r="T896" s="216"/>
      <c r="U896" s="217"/>
      <c r="V896" s="216"/>
      <c r="W896" s="216"/>
      <c r="X896" s="216"/>
      <c r="Y896" s="216"/>
      <c r="Z896" s="216"/>
      <c r="AA896" s="216"/>
      <c r="AB896" s="216"/>
      <c r="AC896" s="216"/>
      <c r="AD896" s="216"/>
      <c r="AE896" s="216"/>
      <c r="AF896" s="216"/>
      <c r="AG896" s="216"/>
      <c r="AH896" s="216"/>
      <c r="AI896" s="216"/>
      <c r="AJ896" s="216"/>
      <c r="AK896" s="216"/>
      <c r="AL896" s="216"/>
      <c r="AM896" s="216"/>
      <c r="AN896" s="216"/>
    </row>
    <row r="897">
      <c r="B897" s="267"/>
      <c r="C897" s="266"/>
      <c r="D897" s="266"/>
      <c r="E897" s="266"/>
      <c r="F897" s="266"/>
      <c r="G897" s="266"/>
      <c r="H897" s="266"/>
      <c r="I897" s="266"/>
      <c r="J897" s="266"/>
      <c r="K897" s="266"/>
      <c r="L897" s="266"/>
      <c r="M897" s="266"/>
      <c r="N897" s="266"/>
      <c r="O897" s="266"/>
      <c r="P897" s="266"/>
      <c r="Q897" s="266"/>
      <c r="R897" s="266"/>
      <c r="S897" s="216"/>
      <c r="T897" s="216"/>
      <c r="U897" s="217"/>
      <c r="V897" s="216"/>
      <c r="W897" s="216"/>
      <c r="X897" s="216"/>
      <c r="Y897" s="216"/>
      <c r="Z897" s="216"/>
      <c r="AA897" s="216"/>
      <c r="AB897" s="216"/>
      <c r="AC897" s="216"/>
      <c r="AD897" s="216"/>
      <c r="AE897" s="216"/>
      <c r="AF897" s="216"/>
      <c r="AG897" s="216"/>
      <c r="AH897" s="216"/>
      <c r="AI897" s="216"/>
      <c r="AJ897" s="216"/>
      <c r="AK897" s="216"/>
      <c r="AL897" s="216"/>
      <c r="AM897" s="216"/>
      <c r="AN897" s="216"/>
    </row>
    <row r="898">
      <c r="B898" s="267"/>
      <c r="C898" s="266"/>
      <c r="D898" s="266"/>
      <c r="E898" s="266"/>
      <c r="F898" s="266"/>
      <c r="G898" s="266"/>
      <c r="H898" s="266"/>
      <c r="I898" s="266"/>
      <c r="J898" s="266"/>
      <c r="K898" s="266"/>
      <c r="L898" s="266"/>
      <c r="M898" s="266"/>
      <c r="N898" s="266"/>
      <c r="O898" s="266"/>
      <c r="P898" s="266"/>
      <c r="Q898" s="266"/>
      <c r="R898" s="266"/>
      <c r="S898" s="216"/>
      <c r="T898" s="216"/>
      <c r="U898" s="217"/>
      <c r="V898" s="216"/>
      <c r="W898" s="216"/>
      <c r="X898" s="216"/>
      <c r="Y898" s="216"/>
      <c r="Z898" s="216"/>
      <c r="AA898" s="216"/>
      <c r="AB898" s="216"/>
      <c r="AC898" s="216"/>
      <c r="AD898" s="216"/>
      <c r="AE898" s="216"/>
      <c r="AF898" s="216"/>
      <c r="AG898" s="216"/>
      <c r="AH898" s="216"/>
      <c r="AI898" s="216"/>
      <c r="AJ898" s="216"/>
      <c r="AK898" s="216"/>
      <c r="AL898" s="216"/>
      <c r="AM898" s="216"/>
      <c r="AN898" s="216"/>
    </row>
    <row r="899">
      <c r="B899" s="267"/>
      <c r="C899" s="266"/>
      <c r="D899" s="266"/>
      <c r="E899" s="266"/>
      <c r="F899" s="266"/>
      <c r="G899" s="266"/>
      <c r="H899" s="266"/>
      <c r="I899" s="266"/>
      <c r="J899" s="266"/>
      <c r="K899" s="266"/>
      <c r="L899" s="266"/>
      <c r="M899" s="266"/>
      <c r="N899" s="266"/>
      <c r="O899" s="266"/>
      <c r="P899" s="266"/>
      <c r="Q899" s="266"/>
      <c r="R899" s="266"/>
      <c r="S899" s="216"/>
      <c r="T899" s="216"/>
      <c r="U899" s="217"/>
      <c r="V899" s="216"/>
      <c r="W899" s="216"/>
      <c r="X899" s="216"/>
      <c r="Y899" s="216"/>
      <c r="Z899" s="216"/>
      <c r="AA899" s="216"/>
      <c r="AB899" s="216"/>
      <c r="AC899" s="216"/>
      <c r="AD899" s="216"/>
      <c r="AE899" s="216"/>
      <c r="AF899" s="216"/>
      <c r="AG899" s="216"/>
      <c r="AH899" s="216"/>
      <c r="AI899" s="216"/>
      <c r="AJ899" s="216"/>
      <c r="AK899" s="216"/>
      <c r="AL899" s="216"/>
      <c r="AM899" s="216"/>
      <c r="AN899" s="216"/>
    </row>
    <row r="900">
      <c r="B900" s="267"/>
      <c r="C900" s="266"/>
      <c r="D900" s="266"/>
      <c r="E900" s="266"/>
      <c r="F900" s="266"/>
      <c r="G900" s="266"/>
      <c r="H900" s="266"/>
      <c r="I900" s="266"/>
      <c r="J900" s="266"/>
      <c r="K900" s="266"/>
      <c r="L900" s="266"/>
      <c r="M900" s="266"/>
      <c r="N900" s="266"/>
      <c r="O900" s="266"/>
      <c r="P900" s="266"/>
      <c r="Q900" s="266"/>
      <c r="R900" s="266"/>
      <c r="S900" s="216"/>
      <c r="T900" s="216"/>
      <c r="U900" s="217"/>
      <c r="V900" s="216"/>
      <c r="W900" s="216"/>
      <c r="X900" s="216"/>
      <c r="Y900" s="216"/>
      <c r="Z900" s="216"/>
      <c r="AA900" s="216"/>
      <c r="AB900" s="216"/>
      <c r="AC900" s="216"/>
      <c r="AD900" s="216"/>
      <c r="AE900" s="216"/>
      <c r="AF900" s="216"/>
      <c r="AG900" s="216"/>
      <c r="AH900" s="216"/>
      <c r="AI900" s="216"/>
      <c r="AJ900" s="216"/>
      <c r="AK900" s="216"/>
      <c r="AL900" s="216"/>
      <c r="AM900" s="216"/>
      <c r="AN900" s="216"/>
    </row>
    <row r="901">
      <c r="B901" s="267"/>
      <c r="C901" s="266"/>
      <c r="D901" s="266"/>
      <c r="E901" s="266"/>
      <c r="F901" s="266"/>
      <c r="G901" s="266"/>
      <c r="H901" s="266"/>
      <c r="I901" s="266"/>
      <c r="J901" s="266"/>
      <c r="K901" s="266"/>
      <c r="L901" s="266"/>
      <c r="M901" s="266"/>
      <c r="N901" s="266"/>
      <c r="O901" s="266"/>
      <c r="P901" s="266"/>
      <c r="Q901" s="266"/>
      <c r="R901" s="266"/>
      <c r="S901" s="216"/>
      <c r="T901" s="216"/>
      <c r="U901" s="217"/>
      <c r="V901" s="216"/>
      <c r="W901" s="216"/>
      <c r="X901" s="216"/>
      <c r="Y901" s="216"/>
      <c r="Z901" s="216"/>
      <c r="AA901" s="216"/>
      <c r="AB901" s="216"/>
      <c r="AC901" s="216"/>
      <c r="AD901" s="216"/>
      <c r="AE901" s="216"/>
      <c r="AF901" s="216"/>
      <c r="AG901" s="216"/>
      <c r="AH901" s="216"/>
      <c r="AI901" s="216"/>
      <c r="AJ901" s="216"/>
      <c r="AK901" s="216"/>
      <c r="AL901" s="216"/>
      <c r="AM901" s="216"/>
      <c r="AN901" s="216"/>
    </row>
    <row r="902">
      <c r="B902" s="267"/>
      <c r="C902" s="266"/>
      <c r="D902" s="266"/>
      <c r="E902" s="266"/>
      <c r="F902" s="266"/>
      <c r="G902" s="266"/>
      <c r="H902" s="266"/>
      <c r="I902" s="266"/>
      <c r="J902" s="266"/>
      <c r="K902" s="266"/>
      <c r="L902" s="266"/>
      <c r="M902" s="266"/>
      <c r="N902" s="266"/>
      <c r="O902" s="266"/>
      <c r="P902" s="266"/>
      <c r="Q902" s="266"/>
      <c r="R902" s="266"/>
      <c r="S902" s="216"/>
      <c r="T902" s="216"/>
      <c r="U902" s="217"/>
      <c r="V902" s="216"/>
      <c r="W902" s="216"/>
      <c r="X902" s="216"/>
      <c r="Y902" s="216"/>
      <c r="Z902" s="216"/>
      <c r="AA902" s="216"/>
      <c r="AB902" s="216"/>
      <c r="AC902" s="216"/>
      <c r="AD902" s="216"/>
      <c r="AE902" s="216"/>
      <c r="AF902" s="216"/>
      <c r="AG902" s="216"/>
      <c r="AH902" s="216"/>
      <c r="AI902" s="216"/>
      <c r="AJ902" s="216"/>
      <c r="AK902" s="216"/>
      <c r="AL902" s="216"/>
      <c r="AM902" s="216"/>
      <c r="AN902" s="216"/>
    </row>
    <row r="903">
      <c r="B903" s="267"/>
      <c r="C903" s="266"/>
      <c r="D903" s="266"/>
      <c r="E903" s="266"/>
      <c r="F903" s="266"/>
      <c r="G903" s="266"/>
      <c r="H903" s="266"/>
      <c r="I903" s="266"/>
      <c r="J903" s="266"/>
      <c r="K903" s="266"/>
      <c r="L903" s="266"/>
      <c r="M903" s="266"/>
      <c r="N903" s="266"/>
      <c r="O903" s="266"/>
      <c r="P903" s="266"/>
      <c r="Q903" s="266"/>
      <c r="R903" s="266"/>
      <c r="S903" s="216"/>
      <c r="T903" s="216"/>
      <c r="U903" s="217"/>
      <c r="V903" s="216"/>
      <c r="W903" s="216"/>
      <c r="X903" s="216"/>
      <c r="Y903" s="216"/>
      <c r="Z903" s="216"/>
      <c r="AA903" s="216"/>
      <c r="AB903" s="216"/>
      <c r="AC903" s="216"/>
      <c r="AD903" s="216"/>
      <c r="AE903" s="216"/>
      <c r="AF903" s="216"/>
      <c r="AG903" s="216"/>
      <c r="AH903" s="216"/>
      <c r="AI903" s="216"/>
      <c r="AJ903" s="216"/>
      <c r="AK903" s="216"/>
      <c r="AL903" s="216"/>
      <c r="AM903" s="216"/>
      <c r="AN903" s="216"/>
    </row>
    <row r="904">
      <c r="B904" s="267"/>
      <c r="C904" s="266"/>
      <c r="D904" s="266"/>
      <c r="E904" s="266"/>
      <c r="F904" s="266"/>
      <c r="G904" s="266"/>
      <c r="H904" s="266"/>
      <c r="I904" s="266"/>
      <c r="J904" s="266"/>
      <c r="K904" s="266"/>
      <c r="L904" s="266"/>
      <c r="M904" s="266"/>
      <c r="N904" s="266"/>
      <c r="O904" s="266"/>
      <c r="P904" s="266"/>
      <c r="Q904" s="266"/>
      <c r="R904" s="266"/>
      <c r="S904" s="216"/>
      <c r="T904" s="216"/>
      <c r="U904" s="217"/>
      <c r="V904" s="216"/>
      <c r="W904" s="216"/>
      <c r="X904" s="216"/>
      <c r="Y904" s="216"/>
      <c r="Z904" s="216"/>
      <c r="AA904" s="216"/>
      <c r="AB904" s="216"/>
      <c r="AC904" s="216"/>
      <c r="AD904" s="216"/>
      <c r="AE904" s="216"/>
      <c r="AF904" s="216"/>
      <c r="AG904" s="216"/>
      <c r="AH904" s="216"/>
      <c r="AI904" s="216"/>
      <c r="AJ904" s="216"/>
      <c r="AK904" s="216"/>
      <c r="AL904" s="216"/>
      <c r="AM904" s="216"/>
      <c r="AN904" s="216"/>
    </row>
    <row r="905">
      <c r="B905" s="267"/>
      <c r="C905" s="266"/>
      <c r="D905" s="266"/>
      <c r="E905" s="266"/>
      <c r="F905" s="266"/>
      <c r="G905" s="266"/>
      <c r="H905" s="266"/>
      <c r="I905" s="266"/>
      <c r="J905" s="266"/>
      <c r="K905" s="266"/>
      <c r="L905" s="266"/>
      <c r="M905" s="266"/>
      <c r="N905" s="266"/>
      <c r="O905" s="266"/>
      <c r="P905" s="266"/>
      <c r="Q905" s="266"/>
      <c r="R905" s="266"/>
      <c r="S905" s="216"/>
      <c r="T905" s="216"/>
      <c r="U905" s="217"/>
      <c r="V905" s="216"/>
      <c r="W905" s="216"/>
      <c r="X905" s="216"/>
      <c r="Y905" s="216"/>
      <c r="Z905" s="216"/>
      <c r="AA905" s="216"/>
      <c r="AB905" s="216"/>
      <c r="AC905" s="216"/>
      <c r="AD905" s="216"/>
      <c r="AE905" s="216"/>
      <c r="AF905" s="216"/>
      <c r="AG905" s="216"/>
      <c r="AH905" s="216"/>
      <c r="AI905" s="216"/>
      <c r="AJ905" s="216"/>
      <c r="AK905" s="216"/>
      <c r="AL905" s="216"/>
      <c r="AM905" s="216"/>
      <c r="AN905" s="216"/>
    </row>
    <row r="906">
      <c r="B906" s="267"/>
      <c r="C906" s="266"/>
      <c r="D906" s="266"/>
      <c r="E906" s="266"/>
      <c r="F906" s="266"/>
      <c r="G906" s="266"/>
      <c r="H906" s="266"/>
      <c r="I906" s="266"/>
      <c r="J906" s="266"/>
      <c r="K906" s="266"/>
      <c r="L906" s="266"/>
      <c r="M906" s="266"/>
      <c r="N906" s="266"/>
      <c r="O906" s="266"/>
      <c r="P906" s="266"/>
      <c r="Q906" s="266"/>
      <c r="R906" s="266"/>
      <c r="S906" s="216"/>
      <c r="T906" s="216"/>
      <c r="U906" s="217"/>
      <c r="V906" s="216"/>
      <c r="W906" s="216"/>
      <c r="X906" s="216"/>
      <c r="Y906" s="216"/>
      <c r="Z906" s="216"/>
      <c r="AA906" s="216"/>
      <c r="AB906" s="216"/>
      <c r="AC906" s="216"/>
      <c r="AD906" s="216"/>
      <c r="AE906" s="216"/>
      <c r="AF906" s="216"/>
      <c r="AG906" s="216"/>
      <c r="AH906" s="216"/>
      <c r="AI906" s="216"/>
      <c r="AJ906" s="216"/>
      <c r="AK906" s="216"/>
      <c r="AL906" s="216"/>
      <c r="AM906" s="216"/>
      <c r="AN906" s="216"/>
    </row>
    <row r="907">
      <c r="B907" s="267"/>
      <c r="C907" s="266"/>
      <c r="D907" s="266"/>
      <c r="E907" s="266"/>
      <c r="F907" s="266"/>
      <c r="G907" s="266"/>
      <c r="H907" s="266"/>
      <c r="I907" s="266"/>
      <c r="J907" s="266"/>
      <c r="K907" s="266"/>
      <c r="L907" s="266"/>
      <c r="M907" s="266"/>
      <c r="N907" s="266"/>
      <c r="O907" s="266"/>
      <c r="P907" s="266"/>
      <c r="Q907" s="266"/>
      <c r="R907" s="266"/>
      <c r="S907" s="216"/>
      <c r="T907" s="216"/>
      <c r="U907" s="217"/>
      <c r="V907" s="216"/>
      <c r="W907" s="216"/>
      <c r="X907" s="216"/>
      <c r="Y907" s="216"/>
      <c r="Z907" s="216"/>
      <c r="AA907" s="216"/>
      <c r="AB907" s="216"/>
      <c r="AC907" s="216"/>
      <c r="AD907" s="216"/>
      <c r="AE907" s="216"/>
      <c r="AF907" s="216"/>
      <c r="AG907" s="216"/>
      <c r="AH907" s="216"/>
      <c r="AI907" s="216"/>
      <c r="AJ907" s="216"/>
      <c r="AK907" s="216"/>
      <c r="AL907" s="216"/>
      <c r="AM907" s="216"/>
      <c r="AN907" s="216"/>
    </row>
    <row r="908">
      <c r="B908" s="267"/>
      <c r="C908" s="266"/>
      <c r="D908" s="266"/>
      <c r="E908" s="266"/>
      <c r="F908" s="266"/>
      <c r="G908" s="266"/>
      <c r="H908" s="266"/>
      <c r="I908" s="266"/>
      <c r="J908" s="266"/>
      <c r="K908" s="266"/>
      <c r="L908" s="266"/>
      <c r="M908" s="266"/>
      <c r="N908" s="266"/>
      <c r="O908" s="266"/>
      <c r="P908" s="266"/>
      <c r="Q908" s="266"/>
      <c r="R908" s="266"/>
      <c r="S908" s="216"/>
      <c r="T908" s="216"/>
      <c r="U908" s="217"/>
      <c r="V908" s="216"/>
      <c r="W908" s="216"/>
      <c r="X908" s="216"/>
      <c r="Y908" s="216"/>
      <c r="Z908" s="216"/>
      <c r="AA908" s="216"/>
      <c r="AB908" s="216"/>
      <c r="AC908" s="216"/>
      <c r="AD908" s="216"/>
      <c r="AE908" s="216"/>
      <c r="AF908" s="216"/>
      <c r="AG908" s="216"/>
      <c r="AH908" s="216"/>
      <c r="AI908" s="216"/>
      <c r="AJ908" s="216"/>
      <c r="AK908" s="216"/>
      <c r="AL908" s="216"/>
      <c r="AM908" s="216"/>
      <c r="AN908" s="216"/>
    </row>
    <row r="909">
      <c r="B909" s="267"/>
      <c r="C909" s="266"/>
      <c r="D909" s="266"/>
      <c r="E909" s="266"/>
      <c r="F909" s="266"/>
      <c r="G909" s="266"/>
      <c r="H909" s="266"/>
      <c r="I909" s="266"/>
      <c r="J909" s="266"/>
      <c r="K909" s="266"/>
      <c r="L909" s="266"/>
      <c r="M909" s="266"/>
      <c r="N909" s="266"/>
      <c r="O909" s="266"/>
      <c r="P909" s="266"/>
      <c r="Q909" s="266"/>
      <c r="R909" s="266"/>
      <c r="S909" s="216"/>
      <c r="T909" s="216"/>
      <c r="U909" s="217"/>
      <c r="V909" s="216"/>
      <c r="W909" s="216"/>
      <c r="X909" s="216"/>
      <c r="Y909" s="216"/>
      <c r="Z909" s="216"/>
      <c r="AA909" s="216"/>
      <c r="AB909" s="216"/>
      <c r="AC909" s="216"/>
      <c r="AD909" s="216"/>
      <c r="AE909" s="216"/>
      <c r="AF909" s="216"/>
      <c r="AG909" s="216"/>
      <c r="AH909" s="216"/>
      <c r="AI909" s="216"/>
      <c r="AJ909" s="216"/>
      <c r="AK909" s="216"/>
      <c r="AL909" s="216"/>
      <c r="AM909" s="216"/>
      <c r="AN909" s="216"/>
    </row>
    <row r="910">
      <c r="B910" s="267"/>
      <c r="C910" s="266"/>
      <c r="D910" s="266"/>
      <c r="E910" s="266"/>
      <c r="F910" s="266"/>
      <c r="G910" s="266"/>
      <c r="H910" s="266"/>
      <c r="I910" s="266"/>
      <c r="J910" s="266"/>
      <c r="K910" s="266"/>
      <c r="L910" s="266"/>
      <c r="M910" s="266"/>
      <c r="N910" s="266"/>
      <c r="O910" s="266"/>
      <c r="P910" s="266"/>
      <c r="Q910" s="266"/>
      <c r="R910" s="266"/>
      <c r="S910" s="216"/>
      <c r="T910" s="216"/>
      <c r="U910" s="217"/>
      <c r="V910" s="216"/>
      <c r="W910" s="216"/>
      <c r="X910" s="216"/>
      <c r="Y910" s="216"/>
      <c r="Z910" s="216"/>
      <c r="AA910" s="216"/>
      <c r="AB910" s="216"/>
      <c r="AC910" s="216"/>
      <c r="AD910" s="216"/>
      <c r="AE910" s="216"/>
      <c r="AF910" s="216"/>
      <c r="AG910" s="216"/>
      <c r="AH910" s="216"/>
      <c r="AI910" s="216"/>
      <c r="AJ910" s="216"/>
      <c r="AK910" s="216"/>
      <c r="AL910" s="216"/>
      <c r="AM910" s="216"/>
      <c r="AN910" s="216"/>
    </row>
    <row r="911">
      <c r="B911" s="267"/>
      <c r="C911" s="266"/>
      <c r="D911" s="266"/>
      <c r="E911" s="266"/>
      <c r="F911" s="266"/>
      <c r="G911" s="266"/>
      <c r="H911" s="266"/>
      <c r="I911" s="266"/>
      <c r="J911" s="266"/>
      <c r="K911" s="266"/>
      <c r="L911" s="266"/>
      <c r="M911" s="266"/>
      <c r="N911" s="266"/>
      <c r="O911" s="266"/>
      <c r="P911" s="266"/>
      <c r="Q911" s="266"/>
      <c r="R911" s="266"/>
      <c r="S911" s="216"/>
      <c r="T911" s="216"/>
      <c r="U911" s="217"/>
      <c r="V911" s="216"/>
      <c r="W911" s="216"/>
      <c r="X911" s="216"/>
      <c r="Y911" s="216"/>
      <c r="Z911" s="216"/>
      <c r="AA911" s="216"/>
      <c r="AB911" s="216"/>
      <c r="AC911" s="216"/>
      <c r="AD911" s="216"/>
      <c r="AE911" s="216"/>
      <c r="AF911" s="216"/>
      <c r="AG911" s="216"/>
      <c r="AH911" s="216"/>
      <c r="AI911" s="216"/>
      <c r="AJ911" s="216"/>
      <c r="AK911" s="216"/>
      <c r="AL911" s="216"/>
      <c r="AM911" s="216"/>
      <c r="AN911" s="216"/>
    </row>
    <row r="912">
      <c r="B912" s="267"/>
      <c r="C912" s="266"/>
      <c r="D912" s="266"/>
      <c r="E912" s="266"/>
      <c r="F912" s="266"/>
      <c r="G912" s="266"/>
      <c r="H912" s="266"/>
      <c r="I912" s="266"/>
      <c r="J912" s="266"/>
      <c r="K912" s="266"/>
      <c r="L912" s="266"/>
      <c r="M912" s="266"/>
      <c r="N912" s="266"/>
      <c r="O912" s="266"/>
      <c r="P912" s="266"/>
      <c r="Q912" s="266"/>
      <c r="R912" s="266"/>
      <c r="S912" s="216"/>
      <c r="T912" s="216"/>
      <c r="U912" s="217"/>
      <c r="V912" s="216"/>
      <c r="W912" s="216"/>
      <c r="X912" s="216"/>
      <c r="Y912" s="216"/>
      <c r="Z912" s="216"/>
      <c r="AA912" s="216"/>
      <c r="AB912" s="216"/>
      <c r="AC912" s="216"/>
      <c r="AD912" s="216"/>
      <c r="AE912" s="216"/>
      <c r="AF912" s="216"/>
      <c r="AG912" s="216"/>
      <c r="AH912" s="216"/>
      <c r="AI912" s="216"/>
      <c r="AJ912" s="216"/>
      <c r="AK912" s="216"/>
      <c r="AL912" s="216"/>
      <c r="AM912" s="216"/>
      <c r="AN912" s="216"/>
    </row>
    <row r="913">
      <c r="B913" s="267"/>
      <c r="C913" s="266"/>
      <c r="D913" s="266"/>
      <c r="E913" s="266"/>
      <c r="F913" s="266"/>
      <c r="G913" s="266"/>
      <c r="H913" s="266"/>
      <c r="I913" s="266"/>
      <c r="J913" s="266"/>
      <c r="K913" s="266"/>
      <c r="L913" s="266"/>
      <c r="M913" s="266"/>
      <c r="N913" s="266"/>
      <c r="O913" s="266"/>
      <c r="P913" s="266"/>
      <c r="Q913" s="266"/>
      <c r="R913" s="266"/>
      <c r="S913" s="216"/>
      <c r="T913" s="216"/>
      <c r="U913" s="217"/>
      <c r="V913" s="216"/>
      <c r="W913" s="216"/>
      <c r="X913" s="216"/>
      <c r="Y913" s="216"/>
      <c r="Z913" s="216"/>
      <c r="AA913" s="216"/>
      <c r="AB913" s="216"/>
      <c r="AC913" s="216"/>
      <c r="AD913" s="216"/>
      <c r="AE913" s="216"/>
      <c r="AF913" s="216"/>
      <c r="AG913" s="216"/>
      <c r="AH913" s="216"/>
      <c r="AI913" s="216"/>
      <c r="AJ913" s="216"/>
      <c r="AK913" s="216"/>
      <c r="AL913" s="216"/>
      <c r="AM913" s="216"/>
      <c r="AN913" s="216"/>
    </row>
    <row r="914">
      <c r="B914" s="267"/>
      <c r="C914" s="266"/>
      <c r="D914" s="266"/>
      <c r="E914" s="266"/>
      <c r="F914" s="266"/>
      <c r="G914" s="266"/>
      <c r="H914" s="266"/>
      <c r="I914" s="266"/>
      <c r="J914" s="266"/>
      <c r="K914" s="266"/>
      <c r="L914" s="266"/>
      <c r="M914" s="266"/>
      <c r="N914" s="266"/>
      <c r="O914" s="266"/>
      <c r="P914" s="266"/>
      <c r="Q914" s="266"/>
      <c r="R914" s="266"/>
      <c r="S914" s="216"/>
      <c r="T914" s="216"/>
      <c r="U914" s="217"/>
      <c r="V914" s="216"/>
      <c r="W914" s="216"/>
      <c r="X914" s="216"/>
      <c r="Y914" s="216"/>
      <c r="Z914" s="216"/>
      <c r="AA914" s="216"/>
      <c r="AB914" s="216"/>
      <c r="AC914" s="216"/>
      <c r="AD914" s="216"/>
      <c r="AE914" s="216"/>
      <c r="AF914" s="216"/>
      <c r="AG914" s="216"/>
      <c r="AH914" s="216"/>
      <c r="AI914" s="216"/>
      <c r="AJ914" s="216"/>
      <c r="AK914" s="216"/>
      <c r="AL914" s="216"/>
      <c r="AM914" s="216"/>
      <c r="AN914" s="216"/>
    </row>
    <row r="915">
      <c r="B915" s="267"/>
      <c r="C915" s="266"/>
      <c r="D915" s="266"/>
      <c r="E915" s="266"/>
      <c r="F915" s="266"/>
      <c r="G915" s="266"/>
      <c r="H915" s="266"/>
      <c r="I915" s="266"/>
      <c r="J915" s="266"/>
      <c r="K915" s="266"/>
      <c r="L915" s="266"/>
      <c r="M915" s="266"/>
      <c r="N915" s="266"/>
      <c r="O915" s="266"/>
      <c r="P915" s="266"/>
      <c r="Q915" s="266"/>
      <c r="R915" s="266"/>
      <c r="S915" s="216"/>
      <c r="T915" s="216"/>
      <c r="U915" s="217"/>
      <c r="V915" s="216"/>
      <c r="W915" s="216"/>
      <c r="X915" s="216"/>
      <c r="Y915" s="216"/>
      <c r="Z915" s="216"/>
      <c r="AA915" s="216"/>
      <c r="AB915" s="216"/>
      <c r="AC915" s="216"/>
      <c r="AD915" s="216"/>
      <c r="AE915" s="216"/>
      <c r="AF915" s="216"/>
      <c r="AG915" s="216"/>
      <c r="AH915" s="216"/>
      <c r="AI915" s="216"/>
      <c r="AJ915" s="216"/>
      <c r="AK915" s="216"/>
      <c r="AL915" s="216"/>
      <c r="AM915" s="216"/>
      <c r="AN915" s="216"/>
    </row>
    <row r="916">
      <c r="B916" s="267"/>
      <c r="C916" s="266"/>
      <c r="D916" s="266"/>
      <c r="E916" s="266"/>
      <c r="F916" s="266"/>
      <c r="G916" s="266"/>
      <c r="H916" s="266"/>
      <c r="I916" s="266"/>
      <c r="J916" s="266"/>
      <c r="K916" s="266"/>
      <c r="L916" s="266"/>
      <c r="M916" s="266"/>
      <c r="N916" s="266"/>
      <c r="O916" s="266"/>
      <c r="P916" s="266"/>
      <c r="Q916" s="266"/>
      <c r="R916" s="266"/>
      <c r="S916" s="216"/>
      <c r="T916" s="216"/>
      <c r="U916" s="217"/>
      <c r="V916" s="216"/>
      <c r="W916" s="216"/>
      <c r="X916" s="216"/>
      <c r="Y916" s="216"/>
      <c r="Z916" s="216"/>
      <c r="AA916" s="216"/>
      <c r="AB916" s="216"/>
      <c r="AC916" s="216"/>
      <c r="AD916" s="216"/>
      <c r="AE916" s="216"/>
      <c r="AF916" s="216"/>
      <c r="AG916" s="216"/>
      <c r="AH916" s="216"/>
      <c r="AI916" s="216"/>
      <c r="AJ916" s="216"/>
      <c r="AK916" s="216"/>
      <c r="AL916" s="216"/>
      <c r="AM916" s="216"/>
      <c r="AN916" s="216"/>
    </row>
    <row r="917">
      <c r="B917" s="267"/>
      <c r="C917" s="266"/>
      <c r="D917" s="266"/>
      <c r="E917" s="266"/>
      <c r="F917" s="266"/>
      <c r="G917" s="266"/>
      <c r="H917" s="266"/>
      <c r="I917" s="266"/>
      <c r="J917" s="266"/>
      <c r="K917" s="266"/>
      <c r="L917" s="266"/>
      <c r="M917" s="266"/>
      <c r="N917" s="266"/>
      <c r="O917" s="266"/>
      <c r="P917" s="266"/>
      <c r="Q917" s="266"/>
      <c r="R917" s="266"/>
      <c r="S917" s="216"/>
      <c r="T917" s="216"/>
      <c r="U917" s="217"/>
      <c r="V917" s="216"/>
      <c r="W917" s="216"/>
      <c r="X917" s="216"/>
      <c r="Y917" s="216"/>
      <c r="Z917" s="216"/>
      <c r="AA917" s="216"/>
      <c r="AB917" s="216"/>
      <c r="AC917" s="216"/>
      <c r="AD917" s="216"/>
      <c r="AE917" s="216"/>
      <c r="AF917" s="216"/>
      <c r="AG917" s="216"/>
      <c r="AH917" s="216"/>
      <c r="AI917" s="216"/>
      <c r="AJ917" s="216"/>
      <c r="AK917" s="216"/>
      <c r="AL917" s="216"/>
      <c r="AM917" s="216"/>
      <c r="AN917" s="216"/>
    </row>
    <row r="918">
      <c r="B918" s="267"/>
      <c r="C918" s="266"/>
      <c r="D918" s="266"/>
      <c r="E918" s="266"/>
      <c r="F918" s="266"/>
      <c r="G918" s="266"/>
      <c r="H918" s="266"/>
      <c r="I918" s="266"/>
      <c r="J918" s="266"/>
      <c r="K918" s="266"/>
      <c r="L918" s="266"/>
      <c r="M918" s="266"/>
      <c r="N918" s="266"/>
      <c r="O918" s="266"/>
      <c r="P918" s="266"/>
      <c r="Q918" s="266"/>
      <c r="R918" s="266"/>
      <c r="S918" s="216"/>
      <c r="T918" s="216"/>
      <c r="U918" s="217"/>
      <c r="V918" s="216"/>
      <c r="W918" s="216"/>
      <c r="X918" s="216"/>
      <c r="Y918" s="216"/>
      <c r="Z918" s="216"/>
      <c r="AA918" s="216"/>
      <c r="AB918" s="216"/>
      <c r="AC918" s="216"/>
      <c r="AD918" s="216"/>
      <c r="AE918" s="216"/>
      <c r="AF918" s="216"/>
      <c r="AG918" s="216"/>
      <c r="AH918" s="216"/>
      <c r="AI918" s="216"/>
      <c r="AJ918" s="216"/>
      <c r="AK918" s="216"/>
      <c r="AL918" s="216"/>
      <c r="AM918" s="216"/>
      <c r="AN918" s="216"/>
    </row>
    <row r="919">
      <c r="B919" s="267"/>
      <c r="C919" s="266"/>
      <c r="D919" s="266"/>
      <c r="E919" s="266"/>
      <c r="F919" s="266"/>
      <c r="G919" s="266"/>
      <c r="H919" s="266"/>
      <c r="I919" s="266"/>
      <c r="J919" s="266"/>
      <c r="K919" s="266"/>
      <c r="L919" s="266"/>
      <c r="M919" s="266"/>
      <c r="N919" s="266"/>
      <c r="O919" s="266"/>
      <c r="P919" s="266"/>
      <c r="Q919" s="266"/>
      <c r="R919" s="266"/>
      <c r="S919" s="216"/>
      <c r="T919" s="216"/>
      <c r="U919" s="217"/>
      <c r="V919" s="216"/>
      <c r="W919" s="216"/>
      <c r="X919" s="216"/>
      <c r="Y919" s="216"/>
      <c r="Z919" s="216"/>
      <c r="AA919" s="216"/>
      <c r="AB919" s="216"/>
      <c r="AC919" s="216"/>
      <c r="AD919" s="216"/>
      <c r="AE919" s="216"/>
      <c r="AF919" s="216"/>
      <c r="AG919" s="216"/>
      <c r="AH919" s="216"/>
      <c r="AI919" s="216"/>
      <c r="AJ919" s="216"/>
      <c r="AK919" s="216"/>
      <c r="AL919" s="216"/>
      <c r="AM919" s="216"/>
      <c r="AN919" s="216"/>
    </row>
    <row r="920">
      <c r="B920" s="267"/>
      <c r="C920" s="266"/>
      <c r="D920" s="266"/>
      <c r="E920" s="266"/>
      <c r="F920" s="266"/>
      <c r="G920" s="266"/>
      <c r="H920" s="266"/>
      <c r="I920" s="266"/>
      <c r="J920" s="266"/>
      <c r="K920" s="266"/>
      <c r="L920" s="266"/>
      <c r="M920" s="266"/>
      <c r="N920" s="266"/>
      <c r="O920" s="266"/>
      <c r="P920" s="266"/>
      <c r="Q920" s="266"/>
      <c r="R920" s="266"/>
      <c r="S920" s="216"/>
      <c r="T920" s="216"/>
      <c r="U920" s="217"/>
      <c r="V920" s="216"/>
      <c r="W920" s="216"/>
      <c r="X920" s="216"/>
      <c r="Y920" s="216"/>
      <c r="Z920" s="216"/>
      <c r="AA920" s="216"/>
      <c r="AB920" s="216"/>
      <c r="AC920" s="216"/>
      <c r="AD920" s="216"/>
      <c r="AE920" s="216"/>
      <c r="AF920" s="216"/>
      <c r="AG920" s="216"/>
      <c r="AH920" s="216"/>
      <c r="AI920" s="216"/>
      <c r="AJ920" s="216"/>
      <c r="AK920" s="216"/>
      <c r="AL920" s="216"/>
      <c r="AM920" s="216"/>
      <c r="AN920" s="216"/>
    </row>
    <row r="921">
      <c r="B921" s="267"/>
      <c r="C921" s="266"/>
      <c r="D921" s="266"/>
      <c r="E921" s="266"/>
      <c r="F921" s="266"/>
      <c r="G921" s="266"/>
      <c r="H921" s="266"/>
      <c r="I921" s="266"/>
      <c r="J921" s="266"/>
      <c r="K921" s="266"/>
      <c r="L921" s="266"/>
      <c r="M921" s="266"/>
      <c r="N921" s="266"/>
      <c r="O921" s="266"/>
      <c r="P921" s="266"/>
      <c r="Q921" s="266"/>
      <c r="R921" s="266"/>
      <c r="S921" s="216"/>
      <c r="T921" s="216"/>
      <c r="U921" s="217"/>
      <c r="V921" s="216"/>
      <c r="W921" s="216"/>
      <c r="X921" s="216"/>
      <c r="Y921" s="216"/>
      <c r="Z921" s="216"/>
      <c r="AA921" s="216"/>
      <c r="AB921" s="216"/>
      <c r="AC921" s="216"/>
      <c r="AD921" s="216"/>
      <c r="AE921" s="216"/>
      <c r="AF921" s="216"/>
      <c r="AG921" s="216"/>
      <c r="AH921" s="216"/>
      <c r="AI921" s="216"/>
      <c r="AJ921" s="216"/>
      <c r="AK921" s="216"/>
      <c r="AL921" s="216"/>
      <c r="AM921" s="216"/>
      <c r="AN921" s="216"/>
    </row>
    <row r="922">
      <c r="B922" s="267"/>
      <c r="C922" s="266"/>
      <c r="D922" s="266"/>
      <c r="E922" s="266"/>
      <c r="F922" s="266"/>
      <c r="G922" s="266"/>
      <c r="H922" s="266"/>
      <c r="I922" s="266"/>
      <c r="J922" s="266"/>
      <c r="K922" s="266"/>
      <c r="L922" s="266"/>
      <c r="M922" s="266"/>
      <c r="N922" s="266"/>
      <c r="O922" s="266"/>
      <c r="P922" s="266"/>
      <c r="Q922" s="266"/>
      <c r="R922" s="266"/>
      <c r="S922" s="216"/>
      <c r="T922" s="216"/>
      <c r="U922" s="217"/>
      <c r="V922" s="216"/>
      <c r="W922" s="216"/>
      <c r="X922" s="216"/>
      <c r="Y922" s="216"/>
      <c r="Z922" s="216"/>
      <c r="AA922" s="216"/>
      <c r="AB922" s="216"/>
      <c r="AC922" s="216"/>
      <c r="AD922" s="216"/>
      <c r="AE922" s="216"/>
      <c r="AF922" s="216"/>
      <c r="AG922" s="216"/>
      <c r="AH922" s="216"/>
      <c r="AI922" s="216"/>
      <c r="AJ922" s="216"/>
      <c r="AK922" s="216"/>
      <c r="AL922" s="216"/>
      <c r="AM922" s="216"/>
      <c r="AN922" s="216"/>
    </row>
    <row r="923">
      <c r="B923" s="267"/>
      <c r="C923" s="266"/>
      <c r="D923" s="266"/>
      <c r="E923" s="266"/>
      <c r="F923" s="266"/>
      <c r="G923" s="266"/>
      <c r="H923" s="266"/>
      <c r="I923" s="266"/>
      <c r="J923" s="266"/>
      <c r="K923" s="266"/>
      <c r="L923" s="266"/>
      <c r="M923" s="266"/>
      <c r="N923" s="266"/>
      <c r="O923" s="266"/>
      <c r="P923" s="266"/>
      <c r="Q923" s="266"/>
      <c r="R923" s="266"/>
      <c r="S923" s="216"/>
      <c r="T923" s="216"/>
      <c r="U923" s="217"/>
      <c r="V923" s="216"/>
      <c r="W923" s="216"/>
      <c r="X923" s="216"/>
      <c r="Y923" s="216"/>
      <c r="Z923" s="216"/>
      <c r="AA923" s="216"/>
      <c r="AB923" s="216"/>
      <c r="AC923" s="216"/>
      <c r="AD923" s="216"/>
      <c r="AE923" s="216"/>
      <c r="AF923" s="216"/>
      <c r="AG923" s="216"/>
      <c r="AH923" s="216"/>
      <c r="AI923" s="216"/>
      <c r="AJ923" s="216"/>
      <c r="AK923" s="216"/>
      <c r="AL923" s="216"/>
      <c r="AM923" s="216"/>
      <c r="AN923" s="216"/>
    </row>
    <row r="924">
      <c r="B924" s="267"/>
      <c r="C924" s="266"/>
      <c r="D924" s="266"/>
      <c r="E924" s="266"/>
      <c r="F924" s="266"/>
      <c r="G924" s="266"/>
      <c r="H924" s="266"/>
      <c r="I924" s="266"/>
      <c r="J924" s="266"/>
      <c r="K924" s="266"/>
      <c r="L924" s="266"/>
      <c r="M924" s="266"/>
      <c r="N924" s="266"/>
      <c r="O924" s="266"/>
      <c r="P924" s="266"/>
      <c r="Q924" s="266"/>
      <c r="R924" s="266"/>
      <c r="S924" s="216"/>
      <c r="T924" s="216"/>
      <c r="U924" s="217"/>
      <c r="V924" s="216"/>
      <c r="W924" s="216"/>
      <c r="X924" s="216"/>
      <c r="Y924" s="216"/>
      <c r="Z924" s="216"/>
      <c r="AA924" s="216"/>
      <c r="AB924" s="216"/>
      <c r="AC924" s="216"/>
      <c r="AD924" s="216"/>
      <c r="AE924" s="216"/>
      <c r="AF924" s="216"/>
      <c r="AG924" s="216"/>
      <c r="AH924" s="216"/>
      <c r="AI924" s="216"/>
      <c r="AJ924" s="216"/>
      <c r="AK924" s="216"/>
      <c r="AL924" s="216"/>
      <c r="AM924" s="216"/>
      <c r="AN924" s="216"/>
    </row>
    <row r="925">
      <c r="B925" s="267"/>
      <c r="C925" s="266"/>
      <c r="D925" s="266"/>
      <c r="E925" s="266"/>
      <c r="F925" s="266"/>
      <c r="G925" s="266"/>
      <c r="H925" s="266"/>
      <c r="I925" s="266"/>
      <c r="J925" s="266"/>
      <c r="K925" s="266"/>
      <c r="L925" s="266"/>
      <c r="M925" s="266"/>
      <c r="N925" s="266"/>
      <c r="O925" s="266"/>
      <c r="P925" s="266"/>
      <c r="Q925" s="266"/>
      <c r="R925" s="266"/>
      <c r="S925" s="216"/>
      <c r="T925" s="216"/>
      <c r="U925" s="217"/>
      <c r="V925" s="216"/>
      <c r="W925" s="216"/>
      <c r="X925" s="216"/>
      <c r="Y925" s="216"/>
      <c r="Z925" s="216"/>
      <c r="AA925" s="216"/>
      <c r="AB925" s="216"/>
      <c r="AC925" s="216"/>
      <c r="AD925" s="216"/>
      <c r="AE925" s="216"/>
      <c r="AF925" s="216"/>
      <c r="AG925" s="216"/>
      <c r="AH925" s="216"/>
      <c r="AI925" s="216"/>
      <c r="AJ925" s="216"/>
      <c r="AK925" s="216"/>
      <c r="AL925" s="216"/>
      <c r="AM925" s="216"/>
      <c r="AN925" s="216"/>
    </row>
    <row r="926">
      <c r="B926" s="267"/>
      <c r="C926" s="266"/>
      <c r="D926" s="266"/>
      <c r="E926" s="266"/>
      <c r="F926" s="266"/>
      <c r="G926" s="266"/>
      <c r="H926" s="266"/>
      <c r="I926" s="266"/>
      <c r="J926" s="266"/>
      <c r="K926" s="266"/>
      <c r="L926" s="266"/>
      <c r="M926" s="266"/>
      <c r="N926" s="266"/>
      <c r="O926" s="266"/>
      <c r="P926" s="266"/>
      <c r="Q926" s="266"/>
      <c r="R926" s="266"/>
      <c r="S926" s="216"/>
      <c r="T926" s="216"/>
      <c r="U926" s="217"/>
      <c r="V926" s="216"/>
      <c r="W926" s="216"/>
      <c r="X926" s="216"/>
      <c r="Y926" s="216"/>
      <c r="Z926" s="216"/>
      <c r="AA926" s="216"/>
      <c r="AB926" s="216"/>
      <c r="AC926" s="216"/>
      <c r="AD926" s="216"/>
      <c r="AE926" s="216"/>
      <c r="AF926" s="216"/>
      <c r="AG926" s="216"/>
      <c r="AH926" s="216"/>
      <c r="AI926" s="216"/>
      <c r="AJ926" s="216"/>
      <c r="AK926" s="216"/>
      <c r="AL926" s="216"/>
      <c r="AM926" s="216"/>
      <c r="AN926" s="216"/>
    </row>
    <row r="927">
      <c r="B927" s="267"/>
      <c r="C927" s="266"/>
      <c r="D927" s="266"/>
      <c r="E927" s="266"/>
      <c r="F927" s="266"/>
      <c r="G927" s="266"/>
      <c r="H927" s="266"/>
      <c r="I927" s="266"/>
      <c r="J927" s="266"/>
      <c r="K927" s="266"/>
      <c r="L927" s="266"/>
      <c r="M927" s="266"/>
      <c r="N927" s="266"/>
      <c r="O927" s="266"/>
      <c r="P927" s="266"/>
      <c r="Q927" s="266"/>
      <c r="R927" s="266"/>
      <c r="S927" s="216"/>
      <c r="T927" s="216"/>
      <c r="U927" s="217"/>
      <c r="V927" s="216"/>
      <c r="W927" s="216"/>
      <c r="X927" s="216"/>
      <c r="Y927" s="216"/>
      <c r="Z927" s="216"/>
      <c r="AA927" s="216"/>
      <c r="AB927" s="216"/>
      <c r="AC927" s="216"/>
      <c r="AD927" s="216"/>
      <c r="AE927" s="216"/>
      <c r="AF927" s="216"/>
      <c r="AG927" s="216"/>
      <c r="AH927" s="216"/>
      <c r="AI927" s="216"/>
      <c r="AJ927" s="216"/>
      <c r="AK927" s="216"/>
      <c r="AL927" s="216"/>
      <c r="AM927" s="216"/>
      <c r="AN927" s="216"/>
    </row>
    <row r="928">
      <c r="B928" s="267"/>
      <c r="C928" s="266"/>
      <c r="D928" s="266"/>
      <c r="E928" s="266"/>
      <c r="F928" s="266"/>
      <c r="G928" s="266"/>
      <c r="H928" s="266"/>
      <c r="I928" s="266"/>
      <c r="J928" s="266"/>
      <c r="K928" s="266"/>
      <c r="L928" s="266"/>
      <c r="M928" s="266"/>
      <c r="N928" s="266"/>
      <c r="O928" s="266"/>
      <c r="P928" s="266"/>
      <c r="Q928" s="266"/>
      <c r="R928" s="266"/>
      <c r="S928" s="216"/>
      <c r="T928" s="216"/>
      <c r="U928" s="217"/>
      <c r="V928" s="216"/>
      <c r="W928" s="216"/>
      <c r="X928" s="216"/>
      <c r="Y928" s="216"/>
      <c r="Z928" s="216"/>
      <c r="AA928" s="216"/>
      <c r="AB928" s="216"/>
      <c r="AC928" s="216"/>
      <c r="AD928" s="216"/>
      <c r="AE928" s="216"/>
      <c r="AF928" s="216"/>
      <c r="AG928" s="216"/>
      <c r="AH928" s="216"/>
      <c r="AI928" s="216"/>
      <c r="AJ928" s="216"/>
      <c r="AK928" s="216"/>
      <c r="AL928" s="216"/>
      <c r="AM928" s="216"/>
      <c r="AN928" s="216"/>
    </row>
    <row r="929">
      <c r="B929" s="267"/>
      <c r="C929" s="266"/>
      <c r="D929" s="266"/>
      <c r="E929" s="266"/>
      <c r="F929" s="266"/>
      <c r="G929" s="266"/>
      <c r="H929" s="266"/>
      <c r="I929" s="266"/>
      <c r="J929" s="266"/>
      <c r="K929" s="266"/>
      <c r="L929" s="266"/>
      <c r="M929" s="266"/>
      <c r="N929" s="266"/>
      <c r="O929" s="266"/>
      <c r="P929" s="266"/>
      <c r="Q929" s="266"/>
      <c r="R929" s="266"/>
      <c r="S929" s="216"/>
      <c r="T929" s="216"/>
      <c r="U929" s="217"/>
      <c r="V929" s="216"/>
      <c r="W929" s="216"/>
      <c r="X929" s="216"/>
      <c r="Y929" s="216"/>
      <c r="Z929" s="216"/>
      <c r="AA929" s="216"/>
      <c r="AB929" s="216"/>
      <c r="AC929" s="216"/>
      <c r="AD929" s="216"/>
      <c r="AE929" s="216"/>
      <c r="AF929" s="216"/>
      <c r="AG929" s="216"/>
      <c r="AH929" s="216"/>
      <c r="AI929" s="216"/>
      <c r="AJ929" s="216"/>
      <c r="AK929" s="216"/>
      <c r="AL929" s="216"/>
      <c r="AM929" s="216"/>
      <c r="AN929" s="216"/>
    </row>
    <row r="930">
      <c r="B930" s="267"/>
      <c r="C930" s="266"/>
      <c r="D930" s="266"/>
      <c r="E930" s="266"/>
      <c r="F930" s="266"/>
      <c r="G930" s="266"/>
      <c r="H930" s="266"/>
      <c r="I930" s="266"/>
      <c r="J930" s="266"/>
      <c r="K930" s="266"/>
      <c r="L930" s="266"/>
      <c r="M930" s="266"/>
      <c r="N930" s="266"/>
      <c r="O930" s="266"/>
      <c r="P930" s="266"/>
      <c r="Q930" s="266"/>
      <c r="R930" s="266"/>
      <c r="S930" s="216"/>
      <c r="T930" s="216"/>
      <c r="U930" s="217"/>
      <c r="V930" s="216"/>
      <c r="W930" s="216"/>
      <c r="X930" s="216"/>
      <c r="Y930" s="216"/>
      <c r="Z930" s="216"/>
      <c r="AA930" s="216"/>
      <c r="AB930" s="216"/>
      <c r="AC930" s="216"/>
      <c r="AD930" s="216"/>
      <c r="AE930" s="216"/>
      <c r="AF930" s="216"/>
      <c r="AG930" s="216"/>
      <c r="AH930" s="216"/>
      <c r="AI930" s="216"/>
      <c r="AJ930" s="216"/>
      <c r="AK930" s="216"/>
      <c r="AL930" s="216"/>
      <c r="AM930" s="216"/>
      <c r="AN930" s="216"/>
    </row>
    <row r="931">
      <c r="B931" s="267"/>
      <c r="C931" s="266"/>
      <c r="D931" s="266"/>
      <c r="E931" s="266"/>
      <c r="F931" s="266"/>
      <c r="G931" s="266"/>
      <c r="H931" s="266"/>
      <c r="I931" s="266"/>
      <c r="J931" s="266"/>
      <c r="K931" s="266"/>
      <c r="L931" s="266"/>
      <c r="M931" s="266"/>
      <c r="N931" s="266"/>
      <c r="O931" s="266"/>
      <c r="P931" s="266"/>
      <c r="Q931" s="266"/>
      <c r="R931" s="266"/>
      <c r="S931" s="216"/>
      <c r="T931" s="216"/>
      <c r="U931" s="217"/>
      <c r="V931" s="216"/>
      <c r="W931" s="216"/>
      <c r="X931" s="216"/>
      <c r="Y931" s="216"/>
      <c r="Z931" s="216"/>
      <c r="AA931" s="216"/>
      <c r="AB931" s="216"/>
      <c r="AC931" s="216"/>
      <c r="AD931" s="216"/>
      <c r="AE931" s="216"/>
      <c r="AF931" s="216"/>
      <c r="AG931" s="216"/>
      <c r="AH931" s="216"/>
      <c r="AI931" s="216"/>
      <c r="AJ931" s="216"/>
      <c r="AK931" s="216"/>
      <c r="AL931" s="216"/>
      <c r="AM931" s="216"/>
      <c r="AN931" s="216"/>
    </row>
    <row r="932">
      <c r="B932" s="267"/>
      <c r="C932" s="266"/>
      <c r="D932" s="266"/>
      <c r="E932" s="266"/>
      <c r="F932" s="266"/>
      <c r="G932" s="266"/>
      <c r="H932" s="266"/>
      <c r="I932" s="266"/>
      <c r="J932" s="266"/>
      <c r="K932" s="266"/>
      <c r="L932" s="266"/>
      <c r="M932" s="266"/>
      <c r="N932" s="266"/>
      <c r="O932" s="266"/>
      <c r="P932" s="266"/>
      <c r="Q932" s="266"/>
      <c r="R932" s="266"/>
      <c r="S932" s="216"/>
      <c r="T932" s="216"/>
      <c r="U932" s="217"/>
      <c r="V932" s="216"/>
      <c r="W932" s="216"/>
      <c r="X932" s="216"/>
      <c r="Y932" s="216"/>
      <c r="Z932" s="216"/>
      <c r="AA932" s="216"/>
      <c r="AB932" s="216"/>
      <c r="AC932" s="216"/>
      <c r="AD932" s="216"/>
      <c r="AE932" s="216"/>
      <c r="AF932" s="216"/>
      <c r="AG932" s="216"/>
      <c r="AH932" s="216"/>
      <c r="AI932" s="216"/>
      <c r="AJ932" s="216"/>
      <c r="AK932" s="216"/>
      <c r="AL932" s="216"/>
      <c r="AM932" s="216"/>
      <c r="AN932" s="216"/>
    </row>
    <row r="933">
      <c r="B933" s="267"/>
      <c r="C933" s="266"/>
      <c r="D933" s="266"/>
      <c r="E933" s="266"/>
      <c r="F933" s="266"/>
      <c r="G933" s="266"/>
      <c r="H933" s="266"/>
      <c r="I933" s="266"/>
      <c r="J933" s="266"/>
      <c r="K933" s="266"/>
      <c r="L933" s="266"/>
      <c r="M933" s="266"/>
      <c r="N933" s="266"/>
      <c r="O933" s="266"/>
      <c r="P933" s="266"/>
      <c r="Q933" s="266"/>
      <c r="R933" s="266"/>
      <c r="S933" s="216"/>
      <c r="T933" s="216"/>
      <c r="U933" s="217"/>
      <c r="V933" s="216"/>
      <c r="W933" s="216"/>
      <c r="X933" s="216"/>
      <c r="Y933" s="216"/>
      <c r="Z933" s="216"/>
      <c r="AA933" s="216"/>
      <c r="AB933" s="216"/>
      <c r="AC933" s="216"/>
      <c r="AD933" s="216"/>
      <c r="AE933" s="216"/>
      <c r="AF933" s="216"/>
      <c r="AG933" s="216"/>
      <c r="AH933" s="216"/>
      <c r="AI933" s="216"/>
      <c r="AJ933" s="216"/>
      <c r="AK933" s="216"/>
      <c r="AL933" s="216"/>
      <c r="AM933" s="216"/>
      <c r="AN933" s="216"/>
    </row>
    <row r="934">
      <c r="B934" s="267"/>
      <c r="C934" s="266"/>
      <c r="D934" s="266"/>
      <c r="E934" s="266"/>
      <c r="F934" s="266"/>
      <c r="G934" s="266"/>
      <c r="H934" s="266"/>
      <c r="I934" s="266"/>
      <c r="J934" s="266"/>
      <c r="K934" s="266"/>
      <c r="L934" s="266"/>
      <c r="M934" s="266"/>
      <c r="N934" s="266"/>
      <c r="O934" s="266"/>
      <c r="P934" s="266"/>
      <c r="Q934" s="266"/>
      <c r="R934" s="266"/>
      <c r="S934" s="216"/>
      <c r="T934" s="216"/>
      <c r="U934" s="217"/>
      <c r="V934" s="216"/>
      <c r="W934" s="216"/>
      <c r="X934" s="216"/>
      <c r="Y934" s="216"/>
      <c r="Z934" s="216"/>
      <c r="AA934" s="216"/>
      <c r="AB934" s="216"/>
      <c r="AC934" s="216"/>
      <c r="AD934" s="216"/>
      <c r="AE934" s="216"/>
      <c r="AF934" s="216"/>
      <c r="AG934" s="216"/>
      <c r="AH934" s="216"/>
      <c r="AI934" s="216"/>
      <c r="AJ934" s="216"/>
      <c r="AK934" s="216"/>
      <c r="AL934" s="216"/>
      <c r="AM934" s="216"/>
      <c r="AN934" s="216"/>
    </row>
    <row r="935">
      <c r="B935" s="267"/>
      <c r="C935" s="266"/>
      <c r="D935" s="266"/>
      <c r="E935" s="266"/>
      <c r="F935" s="266"/>
      <c r="G935" s="266"/>
      <c r="H935" s="266"/>
      <c r="I935" s="266"/>
      <c r="J935" s="266"/>
      <c r="K935" s="266"/>
      <c r="L935" s="266"/>
      <c r="M935" s="266"/>
      <c r="N935" s="266"/>
      <c r="O935" s="266"/>
      <c r="P935" s="266"/>
      <c r="Q935" s="266"/>
      <c r="R935" s="266"/>
      <c r="S935" s="216"/>
      <c r="T935" s="216"/>
      <c r="U935" s="217"/>
      <c r="V935" s="216"/>
      <c r="W935" s="216"/>
      <c r="X935" s="216"/>
      <c r="Y935" s="216"/>
      <c r="Z935" s="216"/>
      <c r="AA935" s="216"/>
      <c r="AB935" s="216"/>
      <c r="AC935" s="216"/>
      <c r="AD935" s="216"/>
      <c r="AE935" s="216"/>
      <c r="AF935" s="216"/>
      <c r="AG935" s="216"/>
      <c r="AH935" s="216"/>
      <c r="AI935" s="216"/>
      <c r="AJ935" s="216"/>
      <c r="AK935" s="216"/>
      <c r="AL935" s="216"/>
      <c r="AM935" s="216"/>
      <c r="AN935" s="216"/>
    </row>
    <row r="936">
      <c r="B936" s="267"/>
      <c r="C936" s="266"/>
      <c r="D936" s="266"/>
      <c r="E936" s="266"/>
      <c r="F936" s="266"/>
      <c r="G936" s="266"/>
      <c r="H936" s="266"/>
      <c r="I936" s="266"/>
      <c r="J936" s="266"/>
      <c r="K936" s="266"/>
      <c r="L936" s="266"/>
      <c r="M936" s="266"/>
      <c r="N936" s="266"/>
      <c r="O936" s="266"/>
      <c r="P936" s="266"/>
      <c r="Q936" s="266"/>
      <c r="R936" s="266"/>
      <c r="S936" s="216"/>
      <c r="T936" s="216"/>
      <c r="U936" s="217"/>
      <c r="V936" s="216"/>
      <c r="W936" s="216"/>
      <c r="X936" s="216"/>
      <c r="Y936" s="216"/>
      <c r="Z936" s="216"/>
      <c r="AA936" s="216"/>
      <c r="AB936" s="216"/>
      <c r="AC936" s="216"/>
      <c r="AD936" s="216"/>
      <c r="AE936" s="216"/>
      <c r="AF936" s="216"/>
      <c r="AG936" s="216"/>
      <c r="AH936" s="216"/>
      <c r="AI936" s="216"/>
      <c r="AJ936" s="216"/>
      <c r="AK936" s="216"/>
      <c r="AL936" s="216"/>
      <c r="AM936" s="216"/>
      <c r="AN936" s="216"/>
    </row>
    <row r="937">
      <c r="B937" s="267"/>
      <c r="C937" s="266"/>
      <c r="D937" s="266"/>
      <c r="E937" s="266"/>
      <c r="F937" s="266"/>
      <c r="G937" s="266"/>
      <c r="H937" s="266"/>
      <c r="I937" s="266"/>
      <c r="J937" s="266"/>
      <c r="K937" s="266"/>
      <c r="L937" s="266"/>
      <c r="M937" s="266"/>
      <c r="N937" s="266"/>
      <c r="O937" s="266"/>
      <c r="P937" s="266"/>
      <c r="Q937" s="266"/>
      <c r="R937" s="266"/>
      <c r="S937" s="216"/>
      <c r="T937" s="216"/>
      <c r="U937" s="217"/>
      <c r="V937" s="216"/>
      <c r="W937" s="216"/>
      <c r="X937" s="216"/>
      <c r="Y937" s="216"/>
      <c r="Z937" s="216"/>
      <c r="AA937" s="216"/>
      <c r="AB937" s="216"/>
      <c r="AC937" s="216"/>
      <c r="AD937" s="216"/>
      <c r="AE937" s="216"/>
      <c r="AF937" s="216"/>
      <c r="AG937" s="216"/>
      <c r="AH937" s="216"/>
      <c r="AI937" s="216"/>
      <c r="AJ937" s="216"/>
      <c r="AK937" s="216"/>
      <c r="AL937" s="216"/>
      <c r="AM937" s="216"/>
      <c r="AN937" s="216"/>
    </row>
  </sheetData>
  <mergeCells count="16">
    <mergeCell ref="H3:I3"/>
    <mergeCell ref="J3:L3"/>
    <mergeCell ref="M3:N3"/>
    <mergeCell ref="O3:P3"/>
    <mergeCell ref="Q3:R3"/>
    <mergeCell ref="S3:T3"/>
    <mergeCell ref="U3:V3"/>
    <mergeCell ref="W3:Y3"/>
    <mergeCell ref="B2:G2"/>
    <mergeCell ref="H2:N2"/>
    <mergeCell ref="O2:T2"/>
    <mergeCell ref="U2:AA2"/>
    <mergeCell ref="B3:C3"/>
    <mergeCell ref="D3:E3"/>
    <mergeCell ref="F3:G3"/>
    <mergeCell ref="Z3:AA3"/>
  </mergeCells>
  <dataValidations>
    <dataValidation type="list" allowBlank="1" showErrorMessage="1" sqref="B24:AA24 B32:AA32">
      <formula1>"0%,100%"</formula1>
    </dataValidation>
  </dataValidation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2.0"/>
    <col customWidth="1" min="2" max="2" width="14.75"/>
    <col customWidth="1" min="5" max="5" width="14.0"/>
    <col customWidth="1" min="28" max="28" width="13.5"/>
  </cols>
  <sheetData>
    <row r="1">
      <c r="A1" s="6" t="s">
        <v>1</v>
      </c>
      <c r="B1" s="7" t="s">
        <v>2</v>
      </c>
      <c r="C1" s="8"/>
      <c r="D1" s="8"/>
      <c r="E1" s="8"/>
      <c r="F1" s="8"/>
      <c r="G1" s="9"/>
      <c r="H1" s="10" t="s">
        <v>3</v>
      </c>
      <c r="I1" s="8"/>
      <c r="J1" s="8"/>
      <c r="K1" s="8"/>
      <c r="L1" s="8"/>
      <c r="M1" s="8"/>
      <c r="N1" s="9"/>
      <c r="O1" s="10" t="s">
        <v>4</v>
      </c>
      <c r="P1" s="8"/>
      <c r="Q1" s="8"/>
      <c r="R1" s="8"/>
      <c r="S1" s="8"/>
      <c r="T1" s="9"/>
      <c r="U1" s="11" t="s">
        <v>5</v>
      </c>
      <c r="V1" s="8"/>
      <c r="W1" s="8"/>
      <c r="X1" s="8"/>
      <c r="Y1" s="8"/>
      <c r="Z1" s="8"/>
      <c r="AA1" s="9"/>
      <c r="AB1" s="12"/>
      <c r="AC1" s="12"/>
      <c r="AD1" s="12"/>
      <c r="AE1" s="12"/>
      <c r="AF1" s="12"/>
      <c r="AG1" s="12"/>
      <c r="AH1" s="12"/>
      <c r="AI1" s="12"/>
      <c r="AJ1" s="12"/>
      <c r="AK1" s="12"/>
      <c r="AL1" s="12"/>
      <c r="AM1" s="12"/>
      <c r="AN1" s="12"/>
    </row>
    <row r="2">
      <c r="A2" s="6" t="s">
        <v>6</v>
      </c>
      <c r="B2" s="13" t="s">
        <v>7</v>
      </c>
      <c r="C2" s="14"/>
      <c r="D2" s="15" t="s">
        <v>8</v>
      </c>
      <c r="E2" s="9"/>
      <c r="F2" s="10" t="s">
        <v>9</v>
      </c>
      <c r="G2" s="9"/>
      <c r="H2" s="15" t="s">
        <v>10</v>
      </c>
      <c r="I2" s="9"/>
      <c r="J2" s="10" t="s">
        <v>11</v>
      </c>
      <c r="K2" s="8"/>
      <c r="L2" s="9"/>
      <c r="M2" s="16" t="s">
        <v>12</v>
      </c>
      <c r="N2" s="9"/>
      <c r="O2" s="10" t="s">
        <v>13</v>
      </c>
      <c r="P2" s="9"/>
      <c r="Q2" s="15" t="s">
        <v>14</v>
      </c>
      <c r="R2" s="9"/>
      <c r="S2" s="10" t="s">
        <v>15</v>
      </c>
      <c r="T2" s="9"/>
      <c r="U2" s="17" t="s">
        <v>16</v>
      </c>
      <c r="V2" s="9"/>
      <c r="W2" s="10" t="s">
        <v>17</v>
      </c>
      <c r="X2" s="8"/>
      <c r="Y2" s="9"/>
      <c r="Z2" s="16" t="s">
        <v>18</v>
      </c>
      <c r="AA2" s="9"/>
      <c r="AB2" s="12"/>
      <c r="AC2" s="12"/>
      <c r="AD2" s="12"/>
      <c r="AE2" s="12"/>
      <c r="AF2" s="12"/>
      <c r="AG2" s="12"/>
      <c r="AH2" s="12"/>
      <c r="AI2" s="12"/>
      <c r="AJ2" s="12"/>
      <c r="AK2" s="12"/>
      <c r="AL2" s="12"/>
      <c r="AM2" s="12"/>
      <c r="AN2" s="12"/>
    </row>
    <row r="3">
      <c r="A3" s="6" t="s">
        <v>19</v>
      </c>
      <c r="B3" s="18" t="s">
        <v>226</v>
      </c>
      <c r="C3" s="18" t="s">
        <v>227</v>
      </c>
      <c r="D3" s="18" t="s">
        <v>228</v>
      </c>
      <c r="E3" s="18" t="s">
        <v>229</v>
      </c>
      <c r="F3" s="18" t="s">
        <v>230</v>
      </c>
      <c r="G3" s="18" t="s">
        <v>231</v>
      </c>
      <c r="H3" s="18" t="s">
        <v>232</v>
      </c>
      <c r="I3" s="19" t="s">
        <v>233</v>
      </c>
      <c r="J3" s="19" t="s">
        <v>234</v>
      </c>
      <c r="K3" s="19" t="s">
        <v>235</v>
      </c>
      <c r="L3" s="19" t="s">
        <v>236</v>
      </c>
      <c r="M3" s="19" t="s">
        <v>237</v>
      </c>
      <c r="N3" s="19" t="s">
        <v>238</v>
      </c>
      <c r="O3" s="19" t="s">
        <v>239</v>
      </c>
      <c r="P3" s="19" t="s">
        <v>240</v>
      </c>
      <c r="Q3" s="19" t="s">
        <v>241</v>
      </c>
      <c r="R3" s="19" t="s">
        <v>242</v>
      </c>
      <c r="S3" s="19" t="s">
        <v>243</v>
      </c>
      <c r="T3" s="19" t="s">
        <v>244</v>
      </c>
      <c r="U3" s="20" t="s">
        <v>245</v>
      </c>
      <c r="V3" s="19" t="s">
        <v>246</v>
      </c>
      <c r="W3" s="19"/>
      <c r="X3" s="19"/>
      <c r="Y3" s="19"/>
      <c r="Z3" s="19"/>
      <c r="AA3" s="21"/>
      <c r="AB3" s="12"/>
      <c r="AC3" s="12"/>
      <c r="AD3" s="12"/>
      <c r="AE3" s="12"/>
      <c r="AF3" s="12"/>
      <c r="AG3" s="12"/>
      <c r="AH3" s="12"/>
      <c r="AI3" s="12"/>
      <c r="AJ3" s="12"/>
      <c r="AK3" s="12"/>
      <c r="AL3" s="12"/>
      <c r="AM3" s="12"/>
      <c r="AN3" s="12"/>
    </row>
    <row r="4">
      <c r="A4" s="22" t="s">
        <v>20</v>
      </c>
      <c r="B4" s="23" t="s">
        <v>247</v>
      </c>
      <c r="C4" s="23" t="s">
        <v>248</v>
      </c>
      <c r="D4" s="23" t="s">
        <v>249</v>
      </c>
      <c r="E4" s="23" t="s">
        <v>250</v>
      </c>
      <c r="F4" s="23" t="s">
        <v>251</v>
      </c>
      <c r="G4" s="23" t="s">
        <v>252</v>
      </c>
      <c r="H4" s="23" t="s">
        <v>253</v>
      </c>
      <c r="I4" s="23" t="s">
        <v>254</v>
      </c>
      <c r="J4" s="23" t="s">
        <v>255</v>
      </c>
      <c r="K4" s="23" t="s">
        <v>256</v>
      </c>
      <c r="L4" s="23" t="s">
        <v>257</v>
      </c>
      <c r="M4" s="23" t="s">
        <v>258</v>
      </c>
      <c r="N4" s="23" t="s">
        <v>259</v>
      </c>
      <c r="O4" s="23" t="s">
        <v>260</v>
      </c>
      <c r="P4" s="23" t="s">
        <v>261</v>
      </c>
      <c r="Q4" s="23" t="s">
        <v>262</v>
      </c>
      <c r="R4" s="23" t="s">
        <v>263</v>
      </c>
      <c r="S4" s="23" t="s">
        <v>264</v>
      </c>
      <c r="T4" s="275" t="s">
        <v>265</v>
      </c>
      <c r="U4" s="23" t="s">
        <v>266</v>
      </c>
      <c r="V4" s="23" t="s">
        <v>267</v>
      </c>
      <c r="W4" s="24"/>
      <c r="X4" s="24"/>
      <c r="Y4" s="24"/>
      <c r="Z4" s="25"/>
      <c r="AA4" s="25"/>
      <c r="AB4" s="27"/>
      <c r="AC4" s="28"/>
      <c r="AD4" s="28"/>
      <c r="AE4" s="28"/>
      <c r="AF4" s="28"/>
      <c r="AG4" s="28"/>
      <c r="AH4" s="28"/>
      <c r="AI4" s="28"/>
      <c r="AJ4" s="28"/>
      <c r="AK4" s="28"/>
      <c r="AL4" s="28"/>
      <c r="AM4" s="28"/>
      <c r="AN4" s="28"/>
    </row>
    <row r="5">
      <c r="A5" s="29"/>
      <c r="B5" s="30"/>
      <c r="U5" s="31"/>
    </row>
    <row r="6">
      <c r="A6" s="32" t="s">
        <v>21</v>
      </c>
      <c r="B6" s="33">
        <v>201.0</v>
      </c>
      <c r="C6" s="34">
        <v>230.0</v>
      </c>
      <c r="D6" s="34">
        <v>154.0</v>
      </c>
      <c r="E6" s="34">
        <v>208.0</v>
      </c>
      <c r="F6" s="34">
        <v>215.0</v>
      </c>
      <c r="G6" s="34">
        <v>203.0</v>
      </c>
      <c r="H6" s="34">
        <v>218.0</v>
      </c>
      <c r="I6" s="34">
        <v>139.0</v>
      </c>
      <c r="J6" s="34">
        <v>160.0</v>
      </c>
      <c r="K6" s="34">
        <v>155.0</v>
      </c>
      <c r="L6" s="34">
        <v>183.0</v>
      </c>
      <c r="M6" s="34">
        <v>137.0</v>
      </c>
      <c r="N6" s="34">
        <v>154.0</v>
      </c>
      <c r="O6" s="34">
        <v>142.0</v>
      </c>
      <c r="P6" s="34">
        <v>142.0</v>
      </c>
      <c r="Q6" s="34">
        <v>113.0</v>
      </c>
      <c r="R6" s="34">
        <v>159.0</v>
      </c>
      <c r="S6" s="34">
        <v>157.0</v>
      </c>
      <c r="T6" s="35">
        <v>196.0</v>
      </c>
      <c r="U6" s="36">
        <v>160.0</v>
      </c>
      <c r="V6" s="34"/>
      <c r="W6" s="34"/>
      <c r="X6" s="34"/>
      <c r="Y6" s="34"/>
      <c r="Z6" s="34"/>
      <c r="AA6" s="34"/>
    </row>
    <row r="7">
      <c r="A7" s="37" t="s">
        <v>22</v>
      </c>
      <c r="B7" s="38">
        <v>191.0</v>
      </c>
      <c r="C7" s="39">
        <v>186.0</v>
      </c>
      <c r="D7" s="39">
        <v>117.0</v>
      </c>
      <c r="E7" s="39">
        <v>181.0</v>
      </c>
      <c r="F7" s="39">
        <v>192.0</v>
      </c>
      <c r="G7" s="39">
        <v>200.0</v>
      </c>
      <c r="H7" s="39">
        <v>218.0</v>
      </c>
      <c r="I7" s="39">
        <v>134.0</v>
      </c>
      <c r="J7" s="39">
        <v>160.0</v>
      </c>
      <c r="K7" s="39">
        <v>155.0</v>
      </c>
      <c r="L7" s="39">
        <v>180.0</v>
      </c>
      <c r="M7" s="39">
        <v>133.0</v>
      </c>
      <c r="N7" s="39">
        <v>151.0</v>
      </c>
      <c r="O7" s="39">
        <v>139.0</v>
      </c>
      <c r="P7" s="39">
        <v>137.0</v>
      </c>
      <c r="Q7" s="39">
        <v>113.0</v>
      </c>
      <c r="R7" s="39">
        <v>156.0</v>
      </c>
      <c r="S7" s="39">
        <v>156.0</v>
      </c>
      <c r="T7" s="39">
        <v>176.0</v>
      </c>
      <c r="U7" s="41">
        <v>150.0</v>
      </c>
      <c r="V7" s="39"/>
      <c r="W7" s="39"/>
      <c r="X7" s="39"/>
      <c r="Y7" s="39"/>
      <c r="Z7" s="39"/>
      <c r="AA7" s="39"/>
    </row>
    <row r="8">
      <c r="A8" s="37" t="s">
        <v>23</v>
      </c>
      <c r="B8" s="38">
        <v>25.0</v>
      </c>
      <c r="C8" s="39">
        <v>60.0</v>
      </c>
      <c r="D8" s="39">
        <v>5.0</v>
      </c>
      <c r="E8" s="39">
        <v>11.0</v>
      </c>
      <c r="F8" s="39">
        <v>17.0</v>
      </c>
      <c r="G8" s="39">
        <v>16.0</v>
      </c>
      <c r="H8" s="39">
        <v>16.0</v>
      </c>
      <c r="I8" s="39">
        <v>10.0</v>
      </c>
      <c r="J8" s="39">
        <v>8.0</v>
      </c>
      <c r="K8" s="39">
        <v>18.0</v>
      </c>
      <c r="L8" s="39">
        <v>9.0</v>
      </c>
      <c r="M8" s="39">
        <v>19.0</v>
      </c>
      <c r="N8" s="39">
        <v>0.0</v>
      </c>
      <c r="O8" s="39">
        <v>16.0</v>
      </c>
      <c r="P8" s="39">
        <v>13.0</v>
      </c>
      <c r="Q8" s="39">
        <v>8.0</v>
      </c>
      <c r="R8" s="39">
        <v>28.0</v>
      </c>
      <c r="S8" s="39">
        <v>20.0</v>
      </c>
      <c r="T8" s="40">
        <v>10.0</v>
      </c>
      <c r="U8" s="41">
        <v>42.0</v>
      </c>
      <c r="V8" s="41"/>
      <c r="W8" s="41"/>
      <c r="X8" s="41"/>
      <c r="Y8" s="41"/>
      <c r="Z8" s="41"/>
      <c r="AA8" s="41"/>
    </row>
    <row r="9">
      <c r="A9" s="42" t="s">
        <v>24</v>
      </c>
      <c r="B9" s="43">
        <f t="shared" ref="B9:U9" si="1">IFERROR(B8/B6, 0)</f>
        <v>0.1243781095</v>
      </c>
      <c r="C9" s="43">
        <f t="shared" si="1"/>
        <v>0.2608695652</v>
      </c>
      <c r="D9" s="43">
        <f t="shared" si="1"/>
        <v>0.03246753247</v>
      </c>
      <c r="E9" s="43">
        <f t="shared" si="1"/>
        <v>0.05288461538</v>
      </c>
      <c r="F9" s="43">
        <f t="shared" si="1"/>
        <v>0.07906976744</v>
      </c>
      <c r="G9" s="43">
        <f t="shared" si="1"/>
        <v>0.07881773399</v>
      </c>
      <c r="H9" s="43">
        <f t="shared" si="1"/>
        <v>0.07339449541</v>
      </c>
      <c r="I9" s="43">
        <f t="shared" si="1"/>
        <v>0.07194244604</v>
      </c>
      <c r="J9" s="43">
        <f t="shared" si="1"/>
        <v>0.05</v>
      </c>
      <c r="K9" s="43">
        <f t="shared" si="1"/>
        <v>0.1161290323</v>
      </c>
      <c r="L9" s="43">
        <f t="shared" si="1"/>
        <v>0.04918032787</v>
      </c>
      <c r="M9" s="43">
        <f t="shared" si="1"/>
        <v>0.1386861314</v>
      </c>
      <c r="N9" s="43">
        <f t="shared" si="1"/>
        <v>0</v>
      </c>
      <c r="O9" s="43">
        <f t="shared" si="1"/>
        <v>0.1126760563</v>
      </c>
      <c r="P9" s="43">
        <f t="shared" si="1"/>
        <v>0.09154929577</v>
      </c>
      <c r="Q9" s="43">
        <f t="shared" si="1"/>
        <v>0.07079646018</v>
      </c>
      <c r="R9" s="43">
        <f t="shared" si="1"/>
        <v>0.1761006289</v>
      </c>
      <c r="S9" s="43">
        <f t="shared" si="1"/>
        <v>0.127388535</v>
      </c>
      <c r="T9" s="43">
        <f t="shared" si="1"/>
        <v>0.05102040816</v>
      </c>
      <c r="U9" s="43">
        <f t="shared" si="1"/>
        <v>0.2625</v>
      </c>
      <c r="V9" s="45"/>
      <c r="W9" s="45"/>
      <c r="X9" s="45"/>
      <c r="Y9" s="45"/>
      <c r="Z9" s="45"/>
      <c r="AA9" s="45"/>
    </row>
    <row r="10">
      <c r="A10" s="40"/>
      <c r="B10" s="46"/>
      <c r="C10" s="40"/>
      <c r="D10" s="40"/>
      <c r="E10" s="40"/>
      <c r="F10" s="40"/>
      <c r="G10" s="40"/>
      <c r="H10" s="40"/>
      <c r="I10" s="40"/>
      <c r="J10" s="40"/>
      <c r="K10" s="40"/>
      <c r="L10" s="40"/>
      <c r="M10" s="40"/>
      <c r="N10" s="40"/>
      <c r="O10" s="40"/>
      <c r="P10" s="40"/>
      <c r="Q10" s="40"/>
      <c r="R10" s="40"/>
      <c r="S10" s="40"/>
      <c r="T10" s="40"/>
      <c r="U10" s="47"/>
      <c r="V10" s="40"/>
      <c r="W10" s="40"/>
      <c r="X10" s="40"/>
      <c r="Y10" s="40"/>
      <c r="Z10" s="40"/>
      <c r="AA10" s="40"/>
    </row>
    <row r="11">
      <c r="A11" s="48" t="s">
        <v>25</v>
      </c>
      <c r="B11" s="49">
        <v>19.0</v>
      </c>
      <c r="C11" s="50">
        <v>44.0</v>
      </c>
      <c r="D11" s="50">
        <v>28.0</v>
      </c>
      <c r="E11" s="50">
        <v>53.0</v>
      </c>
      <c r="F11" s="50">
        <v>36.0</v>
      </c>
      <c r="G11" s="50">
        <v>8.0</v>
      </c>
      <c r="H11" s="50">
        <v>48.0</v>
      </c>
      <c r="I11" s="50">
        <v>18.0</v>
      </c>
      <c r="J11" s="50">
        <v>25.0</v>
      </c>
      <c r="K11" s="50">
        <v>27.0</v>
      </c>
      <c r="L11" s="50">
        <v>17.0</v>
      </c>
      <c r="M11" s="50">
        <v>21.0</v>
      </c>
      <c r="N11" s="50">
        <v>7.0</v>
      </c>
      <c r="O11" s="50">
        <v>11.0</v>
      </c>
      <c r="P11" s="50">
        <v>8.0</v>
      </c>
      <c r="Q11" s="50">
        <v>11.0</v>
      </c>
      <c r="R11" s="50">
        <v>23.0</v>
      </c>
      <c r="S11" s="50">
        <v>69.0</v>
      </c>
      <c r="T11" s="51">
        <v>22.0</v>
      </c>
      <c r="U11" s="52">
        <v>22.0</v>
      </c>
      <c r="V11" s="50"/>
      <c r="W11" s="50"/>
      <c r="X11" s="50"/>
      <c r="Y11" s="50"/>
      <c r="Z11" s="50"/>
      <c r="AA11" s="50"/>
    </row>
    <row r="12">
      <c r="A12" s="53" t="s">
        <v>26</v>
      </c>
      <c r="B12" s="54">
        <v>21.0</v>
      </c>
      <c r="C12" s="55">
        <v>47.0</v>
      </c>
      <c r="D12" s="55">
        <v>40.0</v>
      </c>
      <c r="E12" s="55">
        <v>53.0</v>
      </c>
      <c r="F12" s="55">
        <v>36.0</v>
      </c>
      <c r="G12" s="55">
        <v>5.0</v>
      </c>
      <c r="H12" s="55">
        <v>49.0</v>
      </c>
      <c r="I12" s="55">
        <v>26.0</v>
      </c>
      <c r="J12" s="55">
        <v>22.0</v>
      </c>
      <c r="K12" s="55">
        <v>24.0</v>
      </c>
      <c r="L12" s="55">
        <v>20.0</v>
      </c>
      <c r="M12" s="55">
        <v>9.0</v>
      </c>
      <c r="N12" s="55">
        <v>7.0</v>
      </c>
      <c r="O12" s="55">
        <v>21.0</v>
      </c>
      <c r="P12" s="55">
        <v>3.0</v>
      </c>
      <c r="Q12" s="55">
        <v>11.0</v>
      </c>
      <c r="R12" s="55">
        <v>5.0</v>
      </c>
      <c r="S12" s="55">
        <v>77.0</v>
      </c>
      <c r="T12" s="56">
        <v>50.0</v>
      </c>
      <c r="U12" s="57">
        <v>30.0</v>
      </c>
      <c r="V12" s="55"/>
      <c r="W12" s="55"/>
      <c r="X12" s="55"/>
      <c r="Y12" s="55"/>
      <c r="Z12" s="55"/>
      <c r="AA12" s="55"/>
    </row>
    <row r="13">
      <c r="A13" s="58" t="s">
        <v>27</v>
      </c>
      <c r="B13" s="59">
        <v>0.0</v>
      </c>
      <c r="C13" s="60">
        <v>11.0</v>
      </c>
      <c r="D13" s="60">
        <v>0.0</v>
      </c>
      <c r="E13" s="60">
        <v>0.0</v>
      </c>
      <c r="F13" s="60">
        <v>0.0</v>
      </c>
      <c r="G13" s="60">
        <v>3.0</v>
      </c>
      <c r="H13" s="60">
        <v>9.0</v>
      </c>
      <c r="I13" s="60">
        <v>13.0</v>
      </c>
      <c r="J13" s="60">
        <v>3.0</v>
      </c>
      <c r="K13" s="60">
        <v>5.0</v>
      </c>
      <c r="L13" s="60">
        <v>0.0</v>
      </c>
      <c r="M13" s="60">
        <v>12.0</v>
      </c>
      <c r="N13" s="60">
        <v>0.0</v>
      </c>
      <c r="O13" s="60">
        <v>3.0</v>
      </c>
      <c r="P13" s="60">
        <v>5.0</v>
      </c>
      <c r="Q13" s="60">
        <v>8.0</v>
      </c>
      <c r="R13" s="60">
        <v>25.0</v>
      </c>
      <c r="S13" s="60">
        <v>7.0</v>
      </c>
      <c r="T13" s="61">
        <v>0.0</v>
      </c>
      <c r="U13" s="62">
        <v>47.0</v>
      </c>
      <c r="V13" s="60"/>
      <c r="W13" s="60"/>
      <c r="X13" s="60"/>
      <c r="Y13" s="60"/>
      <c r="Z13" s="60"/>
      <c r="AA13" s="60"/>
    </row>
    <row r="14">
      <c r="A14" s="56"/>
      <c r="B14" s="63"/>
      <c r="C14" s="56"/>
      <c r="D14" s="56"/>
      <c r="E14" s="56"/>
      <c r="F14" s="56"/>
      <c r="G14" s="56"/>
      <c r="H14" s="56"/>
      <c r="I14" s="56"/>
      <c r="J14" s="56"/>
      <c r="K14" s="56"/>
      <c r="L14" s="56"/>
      <c r="M14" s="56"/>
      <c r="N14" s="56"/>
      <c r="O14" s="56"/>
      <c r="P14" s="56"/>
      <c r="Q14" s="56"/>
      <c r="R14" s="56"/>
      <c r="S14" s="56"/>
      <c r="T14" s="56"/>
      <c r="U14" s="64"/>
      <c r="V14" s="56"/>
      <c r="W14" s="56"/>
      <c r="X14" s="56"/>
      <c r="Y14" s="56"/>
      <c r="Z14" s="56"/>
      <c r="AA14" s="56"/>
    </row>
    <row r="15">
      <c r="A15" s="65" t="s">
        <v>28</v>
      </c>
      <c r="B15" s="66"/>
      <c r="C15" s="65"/>
      <c r="D15" s="65"/>
      <c r="E15" s="65"/>
      <c r="F15" s="65"/>
      <c r="G15" s="65"/>
      <c r="H15" s="65"/>
      <c r="I15" s="65"/>
      <c r="J15" s="65"/>
      <c r="K15" s="65"/>
      <c r="L15" s="65"/>
      <c r="M15" s="65"/>
      <c r="N15" s="65"/>
      <c r="O15" s="65"/>
      <c r="P15" s="65"/>
      <c r="Q15" s="65"/>
      <c r="R15" s="65"/>
      <c r="S15" s="65"/>
      <c r="T15" s="67"/>
      <c r="U15" s="68"/>
      <c r="V15" s="65"/>
      <c r="W15" s="65"/>
      <c r="X15" s="65"/>
      <c r="Y15" s="65"/>
      <c r="Z15" s="65"/>
      <c r="AA15" s="65"/>
    </row>
    <row r="16">
      <c r="A16" s="65" t="s">
        <v>29</v>
      </c>
      <c r="B16" s="66"/>
      <c r="C16" s="65"/>
      <c r="D16" s="65"/>
      <c r="E16" s="65"/>
      <c r="F16" s="65"/>
      <c r="G16" s="65"/>
      <c r="H16" s="65"/>
      <c r="I16" s="65"/>
      <c r="J16" s="65"/>
      <c r="K16" s="65"/>
      <c r="L16" s="65"/>
      <c r="M16" s="65"/>
      <c r="N16" s="65"/>
      <c r="O16" s="65"/>
      <c r="P16" s="65"/>
      <c r="Q16" s="65"/>
      <c r="R16" s="65"/>
      <c r="S16" s="65"/>
      <c r="T16" s="67"/>
      <c r="U16" s="68"/>
      <c r="V16" s="65"/>
      <c r="W16" s="65"/>
      <c r="X16" s="65"/>
      <c r="Y16" s="65"/>
      <c r="Z16" s="65"/>
      <c r="AA16" s="65"/>
    </row>
    <row r="17">
      <c r="A17" s="69" t="s">
        <v>30</v>
      </c>
      <c r="B17" s="70">
        <f t="shared" ref="B17:C17" si="2">B49</f>
        <v>109</v>
      </c>
      <c r="C17" s="70">
        <f t="shared" si="2"/>
        <v>114</v>
      </c>
      <c r="D17" s="69">
        <v>103.0</v>
      </c>
      <c r="E17" s="69">
        <v>154.0</v>
      </c>
      <c r="F17" s="69">
        <v>143.0</v>
      </c>
      <c r="G17" s="69">
        <v>88.0</v>
      </c>
      <c r="H17" s="69">
        <v>115.0</v>
      </c>
      <c r="I17" s="69">
        <v>47.0</v>
      </c>
      <c r="J17" s="69">
        <v>131.0</v>
      </c>
      <c r="K17" s="69">
        <v>137.0</v>
      </c>
      <c r="L17" s="69">
        <v>108.0</v>
      </c>
      <c r="M17" s="69">
        <v>110.0</v>
      </c>
      <c r="N17" s="69">
        <v>100.0</v>
      </c>
      <c r="O17" s="69">
        <v>86.0</v>
      </c>
      <c r="P17" s="69">
        <v>119.0</v>
      </c>
      <c r="Q17" s="69">
        <v>55.0</v>
      </c>
      <c r="R17" s="69">
        <v>123.0</v>
      </c>
      <c r="S17" s="69">
        <v>109.0</v>
      </c>
      <c r="T17" s="69">
        <v>52.0</v>
      </c>
      <c r="U17" s="71">
        <v>45.0</v>
      </c>
      <c r="V17" s="69"/>
      <c r="W17" s="69"/>
      <c r="X17" s="69"/>
      <c r="Y17" s="69"/>
      <c r="Z17" s="69"/>
      <c r="AA17" s="72"/>
      <c r="AB17" s="73"/>
      <c r="AC17" s="73"/>
      <c r="AD17" s="73"/>
      <c r="AE17" s="73"/>
      <c r="AF17" s="73"/>
      <c r="AG17" s="73"/>
      <c r="AH17" s="73"/>
      <c r="AI17" s="73"/>
      <c r="AJ17" s="73"/>
      <c r="AK17" s="73"/>
      <c r="AL17" s="73"/>
      <c r="AM17" s="73"/>
      <c r="AN17" s="73"/>
    </row>
    <row r="18">
      <c r="A18" s="74" t="s">
        <v>31</v>
      </c>
      <c r="B18" s="75">
        <v>121.0</v>
      </c>
      <c r="C18" s="75">
        <v>150.0</v>
      </c>
      <c r="D18" s="75">
        <v>110.0</v>
      </c>
      <c r="E18" s="74">
        <v>176.0</v>
      </c>
      <c r="F18" s="74">
        <v>143.0</v>
      </c>
      <c r="G18" s="74">
        <v>175.0</v>
      </c>
      <c r="H18" s="74">
        <v>171.0</v>
      </c>
      <c r="I18" s="74">
        <v>86.0</v>
      </c>
      <c r="J18" s="74">
        <v>142.0</v>
      </c>
      <c r="K18" s="74">
        <v>151.0</v>
      </c>
      <c r="L18" s="74">
        <v>147.0</v>
      </c>
      <c r="M18" s="74">
        <v>115.0</v>
      </c>
      <c r="N18" s="74">
        <v>107.0</v>
      </c>
      <c r="O18" s="74">
        <v>99.0</v>
      </c>
      <c r="P18" s="74">
        <v>132.0</v>
      </c>
      <c r="Q18" s="69">
        <v>75.0</v>
      </c>
      <c r="R18" s="74">
        <v>140.0</v>
      </c>
      <c r="S18" s="74">
        <v>111.0</v>
      </c>
      <c r="T18" s="74">
        <v>61.0</v>
      </c>
      <c r="U18" s="76">
        <v>45.0</v>
      </c>
      <c r="V18" s="74"/>
      <c r="W18" s="74"/>
      <c r="X18" s="74"/>
      <c r="Y18" s="74"/>
      <c r="Z18" s="74"/>
      <c r="AA18" s="77"/>
      <c r="AB18" s="78"/>
      <c r="AC18" s="78"/>
      <c r="AD18" s="78"/>
      <c r="AE18" s="78"/>
      <c r="AF18" s="78"/>
      <c r="AG18" s="78"/>
      <c r="AH18" s="78"/>
      <c r="AI18" s="78"/>
      <c r="AJ18" s="78"/>
      <c r="AK18" s="78"/>
      <c r="AL18" s="78"/>
      <c r="AM18" s="78"/>
      <c r="AN18" s="78"/>
    </row>
    <row r="19">
      <c r="A19" s="69" t="s">
        <v>32</v>
      </c>
      <c r="B19" s="70">
        <v>100.0</v>
      </c>
      <c r="C19" s="69">
        <v>106.0</v>
      </c>
      <c r="D19" s="69">
        <v>88.0</v>
      </c>
      <c r="E19" s="69">
        <v>127.0</v>
      </c>
      <c r="F19" s="69">
        <v>69.0</v>
      </c>
      <c r="G19" s="69">
        <v>80.0</v>
      </c>
      <c r="H19" s="69">
        <v>114.0</v>
      </c>
      <c r="I19" s="69">
        <v>40.0</v>
      </c>
      <c r="J19" s="69">
        <v>118.0</v>
      </c>
      <c r="K19" s="69">
        <v>137.0</v>
      </c>
      <c r="L19" s="69">
        <v>90.0</v>
      </c>
      <c r="M19" s="69">
        <v>98.0</v>
      </c>
      <c r="N19" s="69">
        <v>87.0</v>
      </c>
      <c r="O19" s="69">
        <v>73.0</v>
      </c>
      <c r="P19" s="69">
        <v>117.0</v>
      </c>
      <c r="Q19" s="69">
        <v>37.0</v>
      </c>
      <c r="R19" s="69">
        <v>119.0</v>
      </c>
      <c r="S19" s="69">
        <v>83.0</v>
      </c>
      <c r="T19" s="69">
        <v>37.0</v>
      </c>
      <c r="U19" s="71">
        <v>32.0</v>
      </c>
      <c r="V19" s="69"/>
      <c r="W19" s="69"/>
      <c r="X19" s="69"/>
      <c r="Y19" s="69"/>
      <c r="Z19" s="69"/>
      <c r="AA19" s="72"/>
      <c r="AB19" s="73"/>
      <c r="AC19" s="73"/>
      <c r="AD19" s="73"/>
      <c r="AE19" s="73"/>
      <c r="AF19" s="73"/>
      <c r="AG19" s="73"/>
      <c r="AH19" s="73"/>
      <c r="AI19" s="73"/>
      <c r="AJ19" s="73"/>
      <c r="AK19" s="73"/>
      <c r="AL19" s="73"/>
      <c r="AM19" s="73"/>
      <c r="AN19" s="73"/>
    </row>
    <row r="20">
      <c r="A20" s="79" t="s">
        <v>33</v>
      </c>
      <c r="B20" s="80">
        <f t="shared" ref="B20:U20" si="3">B34-B49</f>
        <v>82</v>
      </c>
      <c r="C20" s="80">
        <f t="shared" si="3"/>
        <v>72</v>
      </c>
      <c r="D20" s="80">
        <f t="shared" si="3"/>
        <v>19</v>
      </c>
      <c r="E20" s="80">
        <f t="shared" si="3"/>
        <v>22</v>
      </c>
      <c r="F20" s="80">
        <f t="shared" si="3"/>
        <v>60</v>
      </c>
      <c r="G20" s="80">
        <f t="shared" si="3"/>
        <v>68</v>
      </c>
      <c r="H20" s="80">
        <f t="shared" si="3"/>
        <v>37</v>
      </c>
      <c r="I20" s="80">
        <f t="shared" si="3"/>
        <v>42</v>
      </c>
      <c r="J20" s="80">
        <f t="shared" si="3"/>
        <v>18</v>
      </c>
      <c r="K20" s="80">
        <f t="shared" si="3"/>
        <v>4</v>
      </c>
      <c r="L20" s="80">
        <f t="shared" si="3"/>
        <v>33</v>
      </c>
      <c r="M20" s="80">
        <f t="shared" si="3"/>
        <v>21</v>
      </c>
      <c r="N20" s="80">
        <f t="shared" si="3"/>
        <v>41</v>
      </c>
      <c r="O20" s="80">
        <f t="shared" si="3"/>
        <v>42</v>
      </c>
      <c r="P20" s="80">
        <f t="shared" si="3"/>
        <v>5</v>
      </c>
      <c r="Q20" s="80">
        <f t="shared" si="3"/>
        <v>38</v>
      </c>
      <c r="R20" s="80">
        <f t="shared" si="3"/>
        <v>5</v>
      </c>
      <c r="S20" s="80">
        <f t="shared" si="3"/>
        <v>46</v>
      </c>
      <c r="T20" s="276">
        <f t="shared" si="3"/>
        <v>134</v>
      </c>
      <c r="U20" s="276">
        <f t="shared" si="3"/>
        <v>97</v>
      </c>
      <c r="V20" s="79"/>
      <c r="W20" s="79"/>
      <c r="X20" s="79"/>
      <c r="Y20" s="79"/>
      <c r="Z20" s="79"/>
      <c r="AA20" s="79"/>
    </row>
    <row r="21">
      <c r="A21" s="82" t="s">
        <v>34</v>
      </c>
      <c r="B21" s="277">
        <v>157.0</v>
      </c>
      <c r="C21" s="277">
        <v>186.0</v>
      </c>
      <c r="D21" s="278">
        <v>104.0</v>
      </c>
      <c r="E21" s="278">
        <v>176.0</v>
      </c>
      <c r="F21" s="278">
        <v>143.0</v>
      </c>
      <c r="G21" s="278">
        <v>103.0</v>
      </c>
      <c r="H21" s="278">
        <v>147.0</v>
      </c>
      <c r="I21" s="278">
        <v>97.0</v>
      </c>
      <c r="J21" s="85">
        <v>136.0</v>
      </c>
      <c r="K21" s="85">
        <v>128.0</v>
      </c>
      <c r="L21" s="85">
        <v>124.0</v>
      </c>
      <c r="M21" s="85">
        <v>131.0</v>
      </c>
      <c r="N21" s="85">
        <v>128.0</v>
      </c>
      <c r="O21" s="85">
        <v>134.0</v>
      </c>
      <c r="P21" s="85">
        <v>116.0</v>
      </c>
      <c r="Q21" s="85">
        <v>67.0</v>
      </c>
      <c r="R21" s="85">
        <v>112.0</v>
      </c>
      <c r="S21" s="85">
        <v>156.0</v>
      </c>
      <c r="T21" s="85">
        <v>176.0</v>
      </c>
      <c r="U21" s="85">
        <v>69.0</v>
      </c>
      <c r="V21" s="85"/>
      <c r="W21" s="85"/>
      <c r="X21" s="85"/>
      <c r="Y21" s="85"/>
      <c r="Z21" s="85"/>
      <c r="AA21" s="87"/>
      <c r="AB21" s="87"/>
      <c r="AC21" s="88"/>
      <c r="AD21" s="88"/>
      <c r="AE21" s="88"/>
      <c r="AF21" s="88"/>
      <c r="AG21" s="88"/>
      <c r="AH21" s="88"/>
      <c r="AI21" s="88"/>
      <c r="AJ21" s="88"/>
      <c r="AK21" s="88"/>
      <c r="AL21" s="88"/>
      <c r="AM21" s="89"/>
      <c r="AN21" s="88"/>
    </row>
    <row r="22">
      <c r="A22" s="90" t="s">
        <v>35</v>
      </c>
      <c r="B22" s="279" t="s">
        <v>268</v>
      </c>
      <c r="C22" s="279" t="s">
        <v>269</v>
      </c>
      <c r="D22" s="279" t="s">
        <v>270</v>
      </c>
      <c r="E22" s="279" t="s">
        <v>271</v>
      </c>
      <c r="F22" s="279" t="s">
        <v>272</v>
      </c>
      <c r="G22" s="279" t="s">
        <v>273</v>
      </c>
      <c r="H22" s="279" t="s">
        <v>274</v>
      </c>
      <c r="I22" s="279" t="s">
        <v>275</v>
      </c>
      <c r="J22" s="280" t="s">
        <v>276</v>
      </c>
      <c r="K22" s="280" t="s">
        <v>277</v>
      </c>
      <c r="L22" s="280" t="s">
        <v>278</v>
      </c>
      <c r="M22" s="280" t="s">
        <v>279</v>
      </c>
      <c r="N22" s="280" t="s">
        <v>280</v>
      </c>
      <c r="O22" s="280" t="s">
        <v>281</v>
      </c>
      <c r="P22" s="280" t="s">
        <v>282</v>
      </c>
      <c r="Q22" s="281" t="s">
        <v>283</v>
      </c>
      <c r="R22" s="282" t="s">
        <v>284</v>
      </c>
      <c r="S22" s="281" t="s">
        <v>285</v>
      </c>
      <c r="T22" s="281" t="s">
        <v>286</v>
      </c>
      <c r="U22" s="281" t="s">
        <v>287</v>
      </c>
      <c r="V22" s="91"/>
      <c r="W22" s="91"/>
      <c r="X22" s="91"/>
      <c r="Y22" s="91"/>
      <c r="Z22" s="91"/>
      <c r="AA22" s="91"/>
      <c r="AB22" s="94"/>
      <c r="AC22" s="95"/>
      <c r="AD22" s="95"/>
      <c r="AE22" s="95"/>
      <c r="AF22" s="95"/>
      <c r="AG22" s="95"/>
      <c r="AH22" s="95"/>
      <c r="AI22" s="95"/>
      <c r="AJ22" s="95"/>
      <c r="AK22" s="95"/>
      <c r="AL22" s="95"/>
      <c r="AM22" s="95"/>
      <c r="AN22" s="95"/>
    </row>
    <row r="23">
      <c r="A23" s="96" t="s">
        <v>36</v>
      </c>
      <c r="B23" s="97">
        <v>0.0</v>
      </c>
      <c r="C23" s="97">
        <v>0.0</v>
      </c>
      <c r="D23" s="97">
        <v>1.0</v>
      </c>
      <c r="E23" s="98">
        <v>0.0</v>
      </c>
      <c r="F23" s="97">
        <v>1.0</v>
      </c>
      <c r="G23" s="97">
        <v>1.0</v>
      </c>
      <c r="H23" s="97">
        <v>1.0</v>
      </c>
      <c r="I23" s="97">
        <v>0.0</v>
      </c>
      <c r="J23" s="98">
        <v>0.0</v>
      </c>
      <c r="K23" s="97">
        <v>1.0</v>
      </c>
      <c r="L23" s="97">
        <v>1.0</v>
      </c>
      <c r="M23" s="98">
        <v>0.0</v>
      </c>
      <c r="N23" s="97">
        <v>1.0</v>
      </c>
      <c r="O23" s="97">
        <v>1.0</v>
      </c>
      <c r="P23" s="97">
        <v>1.0</v>
      </c>
      <c r="Q23" s="97">
        <v>1.0</v>
      </c>
      <c r="R23" s="97">
        <v>0.0</v>
      </c>
      <c r="S23" s="97">
        <v>0.0</v>
      </c>
      <c r="T23" s="98">
        <v>0.0</v>
      </c>
      <c r="U23" s="98">
        <v>0.0</v>
      </c>
      <c r="V23" s="98">
        <v>0.0</v>
      </c>
      <c r="W23" s="98">
        <v>0.0</v>
      </c>
      <c r="X23" s="98">
        <v>0.0</v>
      </c>
      <c r="Y23" s="98">
        <v>0.0</v>
      </c>
      <c r="Z23" s="98">
        <v>0.0</v>
      </c>
      <c r="AA23" s="98">
        <v>0.0</v>
      </c>
      <c r="AB23" s="99"/>
      <c r="AC23" s="100"/>
      <c r="AD23" s="100"/>
      <c r="AE23" s="100"/>
      <c r="AF23" s="100"/>
      <c r="AG23" s="100"/>
      <c r="AH23" s="100"/>
      <c r="AI23" s="100"/>
      <c r="AJ23" s="100"/>
      <c r="AK23" s="100"/>
      <c r="AL23" s="100"/>
      <c r="AM23" s="100"/>
      <c r="AN23" s="100"/>
    </row>
    <row r="24">
      <c r="A24" s="101" t="s">
        <v>37</v>
      </c>
      <c r="B24" s="102">
        <f t="shared" ref="B24:U24" si="4">IFERROR(B18/B7, 0)</f>
        <v>0.6335078534</v>
      </c>
      <c r="C24" s="102">
        <f t="shared" si="4"/>
        <v>0.8064516129</v>
      </c>
      <c r="D24" s="102">
        <f t="shared" si="4"/>
        <v>0.9401709402</v>
      </c>
      <c r="E24" s="102">
        <f t="shared" si="4"/>
        <v>0.9723756906</v>
      </c>
      <c r="F24" s="102">
        <f t="shared" si="4"/>
        <v>0.7447916667</v>
      </c>
      <c r="G24" s="102">
        <f t="shared" si="4"/>
        <v>0.875</v>
      </c>
      <c r="H24" s="102">
        <f t="shared" si="4"/>
        <v>0.7844036697</v>
      </c>
      <c r="I24" s="102">
        <f t="shared" si="4"/>
        <v>0.6417910448</v>
      </c>
      <c r="J24" s="102">
        <f t="shared" si="4"/>
        <v>0.8875</v>
      </c>
      <c r="K24" s="102">
        <f t="shared" si="4"/>
        <v>0.9741935484</v>
      </c>
      <c r="L24" s="102">
        <f t="shared" si="4"/>
        <v>0.8166666667</v>
      </c>
      <c r="M24" s="102">
        <f t="shared" si="4"/>
        <v>0.8646616541</v>
      </c>
      <c r="N24" s="102">
        <f t="shared" si="4"/>
        <v>0.7086092715</v>
      </c>
      <c r="O24" s="102">
        <f t="shared" si="4"/>
        <v>0.7122302158</v>
      </c>
      <c r="P24" s="102">
        <f t="shared" si="4"/>
        <v>0.9635036496</v>
      </c>
      <c r="Q24" s="102">
        <f t="shared" si="4"/>
        <v>0.6637168142</v>
      </c>
      <c r="R24" s="102">
        <f t="shared" si="4"/>
        <v>0.8974358974</v>
      </c>
      <c r="S24" s="102">
        <f t="shared" si="4"/>
        <v>0.7115384615</v>
      </c>
      <c r="T24" s="102">
        <f t="shared" si="4"/>
        <v>0.3465909091</v>
      </c>
      <c r="U24" s="102">
        <f t="shared" si="4"/>
        <v>0.3</v>
      </c>
      <c r="V24" s="103"/>
      <c r="W24" s="103"/>
      <c r="X24" s="103"/>
      <c r="Y24" s="103"/>
      <c r="Z24" s="103"/>
      <c r="AA24" s="103"/>
    </row>
    <row r="25">
      <c r="A25" s="105" t="s">
        <v>38</v>
      </c>
      <c r="B25" s="106">
        <f t="shared" ref="B25:U25" si="5">IFERROR(B11/B17, 0)</f>
        <v>0.1743119266</v>
      </c>
      <c r="C25" s="106">
        <f t="shared" si="5"/>
        <v>0.3859649123</v>
      </c>
      <c r="D25" s="106">
        <f t="shared" si="5"/>
        <v>0.2718446602</v>
      </c>
      <c r="E25" s="106">
        <f t="shared" si="5"/>
        <v>0.3441558442</v>
      </c>
      <c r="F25" s="106">
        <f t="shared" si="5"/>
        <v>0.2517482517</v>
      </c>
      <c r="G25" s="106">
        <f t="shared" si="5"/>
        <v>0.09090909091</v>
      </c>
      <c r="H25" s="106">
        <f t="shared" si="5"/>
        <v>0.4173913043</v>
      </c>
      <c r="I25" s="106">
        <f t="shared" si="5"/>
        <v>0.3829787234</v>
      </c>
      <c r="J25" s="106">
        <f t="shared" si="5"/>
        <v>0.1908396947</v>
      </c>
      <c r="K25" s="106">
        <f t="shared" si="5"/>
        <v>0.197080292</v>
      </c>
      <c r="L25" s="106">
        <f t="shared" si="5"/>
        <v>0.1574074074</v>
      </c>
      <c r="M25" s="106">
        <f t="shared" si="5"/>
        <v>0.1909090909</v>
      </c>
      <c r="N25" s="106">
        <f t="shared" si="5"/>
        <v>0.07</v>
      </c>
      <c r="O25" s="106">
        <f t="shared" si="5"/>
        <v>0.1279069767</v>
      </c>
      <c r="P25" s="106">
        <f t="shared" si="5"/>
        <v>0.06722689076</v>
      </c>
      <c r="Q25" s="106">
        <f t="shared" si="5"/>
        <v>0.2</v>
      </c>
      <c r="R25" s="106">
        <f t="shared" si="5"/>
        <v>0.1869918699</v>
      </c>
      <c r="S25" s="106">
        <f t="shared" si="5"/>
        <v>0.6330275229</v>
      </c>
      <c r="T25" s="106">
        <f t="shared" si="5"/>
        <v>0.4230769231</v>
      </c>
      <c r="U25" s="106">
        <f t="shared" si="5"/>
        <v>0.4888888889</v>
      </c>
      <c r="V25" s="107"/>
      <c r="W25" s="107"/>
      <c r="X25" s="107"/>
      <c r="Y25" s="107"/>
      <c r="Z25" s="107"/>
      <c r="AA25" s="107"/>
    </row>
    <row r="26">
      <c r="A26" s="109" t="s">
        <v>39</v>
      </c>
      <c r="B26" s="110">
        <f t="shared" ref="B26:U26" si="6">IFERROR(B19/B17, 0)</f>
        <v>0.9174311927</v>
      </c>
      <c r="C26" s="110">
        <f t="shared" si="6"/>
        <v>0.9298245614</v>
      </c>
      <c r="D26" s="110">
        <f t="shared" si="6"/>
        <v>0.854368932</v>
      </c>
      <c r="E26" s="110">
        <f t="shared" si="6"/>
        <v>0.8246753247</v>
      </c>
      <c r="F26" s="110">
        <f t="shared" si="6"/>
        <v>0.4825174825</v>
      </c>
      <c r="G26" s="110">
        <f t="shared" si="6"/>
        <v>0.9090909091</v>
      </c>
      <c r="H26" s="110">
        <f t="shared" si="6"/>
        <v>0.9913043478</v>
      </c>
      <c r="I26" s="110">
        <f t="shared" si="6"/>
        <v>0.8510638298</v>
      </c>
      <c r="J26" s="110">
        <f t="shared" si="6"/>
        <v>0.9007633588</v>
      </c>
      <c r="K26" s="110">
        <f t="shared" si="6"/>
        <v>1</v>
      </c>
      <c r="L26" s="110">
        <f t="shared" si="6"/>
        <v>0.8333333333</v>
      </c>
      <c r="M26" s="110">
        <f t="shared" si="6"/>
        <v>0.8909090909</v>
      </c>
      <c r="N26" s="110">
        <f t="shared" si="6"/>
        <v>0.87</v>
      </c>
      <c r="O26" s="110">
        <f t="shared" si="6"/>
        <v>0.8488372093</v>
      </c>
      <c r="P26" s="110">
        <f t="shared" si="6"/>
        <v>0.9831932773</v>
      </c>
      <c r="Q26" s="110">
        <f t="shared" si="6"/>
        <v>0.6727272727</v>
      </c>
      <c r="R26" s="110">
        <f t="shared" si="6"/>
        <v>0.9674796748</v>
      </c>
      <c r="S26" s="110">
        <f t="shared" si="6"/>
        <v>0.7614678899</v>
      </c>
      <c r="T26" s="110">
        <f t="shared" si="6"/>
        <v>0.7115384615</v>
      </c>
      <c r="U26" s="110">
        <f t="shared" si="6"/>
        <v>0.7111111111</v>
      </c>
      <c r="V26" s="110"/>
      <c r="W26" s="110"/>
      <c r="X26" s="110"/>
      <c r="Y26" s="110"/>
      <c r="Z26" s="110"/>
      <c r="AA26" s="110"/>
      <c r="AB26" s="112"/>
      <c r="AC26" s="113"/>
      <c r="AD26" s="113"/>
      <c r="AE26" s="113"/>
      <c r="AF26" s="113"/>
      <c r="AG26" s="113"/>
      <c r="AH26" s="113"/>
      <c r="AI26" s="113"/>
      <c r="AJ26" s="113"/>
      <c r="AK26" s="113"/>
      <c r="AL26" s="113"/>
      <c r="AM26" s="113"/>
      <c r="AN26" s="113"/>
    </row>
    <row r="27">
      <c r="A27" s="114" t="s">
        <v>40</v>
      </c>
      <c r="B27" s="115">
        <f t="shared" ref="B27:U27" si="7">B21/B7</f>
        <v>0.8219895288</v>
      </c>
      <c r="C27" s="115">
        <f t="shared" si="7"/>
        <v>1</v>
      </c>
      <c r="D27" s="115">
        <f t="shared" si="7"/>
        <v>0.8888888889</v>
      </c>
      <c r="E27" s="115">
        <f t="shared" si="7"/>
        <v>0.9723756906</v>
      </c>
      <c r="F27" s="115">
        <f t="shared" si="7"/>
        <v>0.7447916667</v>
      </c>
      <c r="G27" s="115">
        <f t="shared" si="7"/>
        <v>0.515</v>
      </c>
      <c r="H27" s="115">
        <f t="shared" si="7"/>
        <v>0.6743119266</v>
      </c>
      <c r="I27" s="115">
        <f t="shared" si="7"/>
        <v>0.723880597</v>
      </c>
      <c r="J27" s="115">
        <f t="shared" si="7"/>
        <v>0.85</v>
      </c>
      <c r="K27" s="115">
        <f t="shared" si="7"/>
        <v>0.8258064516</v>
      </c>
      <c r="L27" s="115">
        <f t="shared" si="7"/>
        <v>0.6888888889</v>
      </c>
      <c r="M27" s="115">
        <f t="shared" si="7"/>
        <v>0.984962406</v>
      </c>
      <c r="N27" s="115">
        <f t="shared" si="7"/>
        <v>0.8476821192</v>
      </c>
      <c r="O27" s="115">
        <f t="shared" si="7"/>
        <v>0.964028777</v>
      </c>
      <c r="P27" s="115">
        <f t="shared" si="7"/>
        <v>0.8467153285</v>
      </c>
      <c r="Q27" s="115">
        <f t="shared" si="7"/>
        <v>0.592920354</v>
      </c>
      <c r="R27" s="115">
        <f t="shared" si="7"/>
        <v>0.7179487179</v>
      </c>
      <c r="S27" s="115">
        <f t="shared" si="7"/>
        <v>1</v>
      </c>
      <c r="T27" s="115">
        <f t="shared" si="7"/>
        <v>1</v>
      </c>
      <c r="U27" s="115">
        <f t="shared" si="7"/>
        <v>0.46</v>
      </c>
      <c r="V27" s="115"/>
      <c r="W27" s="115"/>
      <c r="X27" s="115"/>
      <c r="Y27" s="115"/>
      <c r="Z27" s="115"/>
      <c r="AA27" s="115"/>
      <c r="AB27" s="112"/>
      <c r="AC27" s="113"/>
      <c r="AD27" s="113"/>
      <c r="AE27" s="113"/>
      <c r="AF27" s="113"/>
      <c r="AG27" s="113"/>
      <c r="AH27" s="113"/>
      <c r="AI27" s="113"/>
      <c r="AJ27" s="113"/>
      <c r="AK27" s="113"/>
      <c r="AL27" s="113"/>
      <c r="AM27" s="113"/>
      <c r="AN27" s="113"/>
    </row>
    <row r="28">
      <c r="A28" s="117" t="s">
        <v>41</v>
      </c>
      <c r="B28" s="118"/>
      <c r="C28" s="119"/>
      <c r="D28" s="119"/>
      <c r="E28" s="119"/>
      <c r="F28" s="119"/>
      <c r="G28" s="119"/>
      <c r="H28" s="119"/>
      <c r="I28" s="119"/>
      <c r="J28" s="119"/>
      <c r="K28" s="119"/>
      <c r="L28" s="119"/>
      <c r="M28" s="119"/>
      <c r="N28" s="119"/>
      <c r="O28" s="119"/>
      <c r="P28" s="119"/>
      <c r="Q28" s="119"/>
      <c r="R28" s="119"/>
      <c r="S28" s="119"/>
      <c r="T28" s="119"/>
      <c r="U28" s="120"/>
      <c r="V28" s="119"/>
      <c r="W28" s="119"/>
      <c r="X28" s="119"/>
      <c r="Y28" s="119"/>
      <c r="Z28" s="119"/>
      <c r="AA28" s="119"/>
      <c r="AB28" s="121"/>
      <c r="AC28" s="121"/>
      <c r="AD28" s="121"/>
      <c r="AE28" s="121"/>
      <c r="AF28" s="121"/>
      <c r="AG28" s="99"/>
      <c r="AH28" s="99"/>
      <c r="AI28" s="99"/>
      <c r="AJ28" s="99"/>
      <c r="AK28" s="99"/>
      <c r="AL28" s="99"/>
      <c r="AM28" s="99"/>
      <c r="AN28" s="99"/>
    </row>
    <row r="29">
      <c r="A29" s="184" t="s">
        <v>141</v>
      </c>
      <c r="B29" s="185">
        <f t="shared" ref="B29:AA29" si="8">B94/B34</f>
        <v>0</v>
      </c>
      <c r="C29" s="185">
        <f t="shared" si="8"/>
        <v>0</v>
      </c>
      <c r="D29" s="185">
        <f t="shared" si="8"/>
        <v>0</v>
      </c>
      <c r="E29" s="185">
        <f t="shared" si="8"/>
        <v>0</v>
      </c>
      <c r="F29" s="185">
        <f t="shared" si="8"/>
        <v>0</v>
      </c>
      <c r="G29" s="185">
        <f t="shared" si="8"/>
        <v>0</v>
      </c>
      <c r="H29" s="185">
        <f t="shared" si="8"/>
        <v>0</v>
      </c>
      <c r="I29" s="185">
        <f t="shared" si="8"/>
        <v>0</v>
      </c>
      <c r="J29" s="185">
        <f t="shared" si="8"/>
        <v>0</v>
      </c>
      <c r="K29" s="185">
        <f t="shared" si="8"/>
        <v>0</v>
      </c>
      <c r="L29" s="185">
        <f t="shared" si="8"/>
        <v>0</v>
      </c>
      <c r="M29" s="185">
        <f t="shared" si="8"/>
        <v>0</v>
      </c>
      <c r="N29" s="185">
        <f t="shared" si="8"/>
        <v>0</v>
      </c>
      <c r="O29" s="185">
        <f t="shared" si="8"/>
        <v>0</v>
      </c>
      <c r="P29" s="185">
        <f t="shared" si="8"/>
        <v>0</v>
      </c>
      <c r="Q29" s="185">
        <f t="shared" si="8"/>
        <v>0</v>
      </c>
      <c r="R29" s="185">
        <f t="shared" si="8"/>
        <v>0</v>
      </c>
      <c r="S29" s="185">
        <f t="shared" si="8"/>
        <v>0</v>
      </c>
      <c r="T29" s="185">
        <f t="shared" si="8"/>
        <v>0</v>
      </c>
      <c r="U29" s="185">
        <f t="shared" si="8"/>
        <v>0</v>
      </c>
      <c r="V29" s="185" t="str">
        <f t="shared" si="8"/>
        <v>#DIV/0!</v>
      </c>
      <c r="W29" s="185" t="str">
        <f t="shared" si="8"/>
        <v>#DIV/0!</v>
      </c>
      <c r="X29" s="185" t="str">
        <f t="shared" si="8"/>
        <v>#DIV/0!</v>
      </c>
      <c r="Y29" s="185" t="str">
        <f t="shared" si="8"/>
        <v>#DIV/0!</v>
      </c>
      <c r="Z29" s="185" t="str">
        <f t="shared" si="8"/>
        <v>#DIV/0!</v>
      </c>
      <c r="AA29" s="185" t="str">
        <f t="shared" si="8"/>
        <v>#DIV/0!</v>
      </c>
      <c r="AB29" s="240"/>
      <c r="AC29" s="186"/>
      <c r="AD29" s="186"/>
      <c r="AE29" s="186"/>
      <c r="AF29" s="186"/>
      <c r="AG29" s="186"/>
      <c r="AH29" s="186"/>
      <c r="AI29" s="186"/>
      <c r="AJ29" s="186"/>
      <c r="AK29" s="186"/>
      <c r="AL29" s="186"/>
      <c r="AM29" s="186"/>
      <c r="AN29" s="186"/>
    </row>
    <row r="30">
      <c r="A30" s="187" t="s">
        <v>42</v>
      </c>
      <c r="B30" s="191">
        <f t="shared" ref="B30:N30" si="9">B64/B34</f>
        <v>0.1518324607</v>
      </c>
      <c r="C30" s="191">
        <f t="shared" si="9"/>
        <v>0.1720430108</v>
      </c>
      <c r="D30" s="191">
        <f t="shared" si="9"/>
        <v>0.2612612613</v>
      </c>
      <c r="E30" s="191">
        <f t="shared" si="9"/>
        <v>0.2678571429</v>
      </c>
      <c r="F30" s="191">
        <f t="shared" si="9"/>
        <v>0.1770833333</v>
      </c>
      <c r="G30" s="191">
        <f t="shared" si="9"/>
        <v>0.51</v>
      </c>
      <c r="H30" s="191">
        <f t="shared" si="9"/>
        <v>0.3119266055</v>
      </c>
      <c r="I30" s="191">
        <f t="shared" si="9"/>
        <v>0.4701492537</v>
      </c>
      <c r="J30" s="191">
        <f t="shared" si="9"/>
        <v>0.34375</v>
      </c>
      <c r="K30" s="191">
        <f t="shared" si="9"/>
        <v>0.4903225806</v>
      </c>
      <c r="L30" s="191">
        <f t="shared" si="9"/>
        <v>0.3111111111</v>
      </c>
      <c r="M30" s="191">
        <f t="shared" si="9"/>
        <v>0.3533834586</v>
      </c>
      <c r="N30" s="191">
        <f t="shared" si="9"/>
        <v>0.3112582781</v>
      </c>
      <c r="O30" s="191">
        <f t="shared" ref="O30:U30" si="10">O64/O7</f>
        <v>0.3021582734</v>
      </c>
      <c r="P30" s="191">
        <f t="shared" si="10"/>
        <v>0.401459854</v>
      </c>
      <c r="Q30" s="191">
        <f t="shared" si="10"/>
        <v>0.3008849558</v>
      </c>
      <c r="R30" s="191">
        <f t="shared" si="10"/>
        <v>0.3333333333</v>
      </c>
      <c r="S30" s="191">
        <f t="shared" si="10"/>
        <v>0.3525641026</v>
      </c>
      <c r="T30" s="191">
        <f t="shared" si="10"/>
        <v>0.3068181818</v>
      </c>
      <c r="U30" s="191">
        <f t="shared" si="10"/>
        <v>0.54</v>
      </c>
      <c r="V30" s="185">
        <v>0.0</v>
      </c>
      <c r="W30" s="185">
        <v>0.0</v>
      </c>
      <c r="X30" s="185">
        <v>0.0</v>
      </c>
      <c r="Y30" s="185">
        <v>0.0</v>
      </c>
      <c r="Z30" s="185">
        <v>0.0</v>
      </c>
      <c r="AA30" s="185">
        <v>0.0</v>
      </c>
      <c r="AB30" s="188"/>
      <c r="AC30" s="189"/>
      <c r="AD30" s="189"/>
      <c r="AE30" s="189"/>
      <c r="AF30" s="189"/>
      <c r="AG30" s="147"/>
      <c r="AH30" s="147"/>
      <c r="AI30" s="147"/>
      <c r="AJ30" s="147"/>
      <c r="AK30" s="147"/>
      <c r="AL30" s="147"/>
      <c r="AM30" s="147"/>
      <c r="AN30" s="147"/>
    </row>
    <row r="31">
      <c r="A31" s="190" t="s">
        <v>43</v>
      </c>
      <c r="B31" s="191">
        <v>0.0</v>
      </c>
      <c r="C31" s="191">
        <v>0.0</v>
      </c>
      <c r="D31" s="191">
        <v>1.0</v>
      </c>
      <c r="E31" s="191">
        <v>1.0</v>
      </c>
      <c r="F31" s="191">
        <v>0.0</v>
      </c>
      <c r="G31" s="191">
        <v>1.0</v>
      </c>
      <c r="H31" s="191">
        <v>1.0</v>
      </c>
      <c r="I31" s="191">
        <v>1.0</v>
      </c>
      <c r="J31" s="191">
        <v>1.0</v>
      </c>
      <c r="K31" s="191">
        <v>1.0</v>
      </c>
      <c r="L31" s="191">
        <v>1.0</v>
      </c>
      <c r="M31" s="191">
        <v>1.0</v>
      </c>
      <c r="N31" s="191">
        <v>1.0</v>
      </c>
      <c r="O31" s="191">
        <v>1.0</v>
      </c>
      <c r="P31" s="191">
        <v>1.0</v>
      </c>
      <c r="Q31" s="191">
        <v>1.0</v>
      </c>
      <c r="R31" s="191">
        <v>1.0</v>
      </c>
      <c r="S31" s="191">
        <v>1.0</v>
      </c>
      <c r="T31" s="191">
        <v>1.0</v>
      </c>
      <c r="U31" s="191">
        <v>1.0</v>
      </c>
      <c r="V31" s="185">
        <v>0.0</v>
      </c>
      <c r="W31" s="185">
        <v>0.0</v>
      </c>
      <c r="X31" s="185">
        <v>0.0</v>
      </c>
      <c r="Y31" s="185">
        <v>0.0</v>
      </c>
      <c r="Z31" s="185">
        <v>0.0</v>
      </c>
      <c r="AA31" s="185">
        <v>0.0</v>
      </c>
      <c r="AB31" s="189"/>
      <c r="AC31" s="189"/>
      <c r="AD31" s="189"/>
      <c r="AE31" s="189"/>
      <c r="AF31" s="189"/>
      <c r="AG31" s="147"/>
      <c r="AH31" s="147"/>
      <c r="AI31" s="147"/>
      <c r="AJ31" s="147"/>
      <c r="AK31" s="147"/>
      <c r="AL31" s="147"/>
      <c r="AM31" s="147"/>
      <c r="AN31" s="147"/>
    </row>
    <row r="32">
      <c r="A32" s="187" t="s">
        <v>44</v>
      </c>
      <c r="B32" s="192">
        <f t="shared" ref="B32:AA32" si="11">(B23*0.7) + (IF(B30 &gt;= 30%, 1, 0)*0.15) + (B31*0.15)</f>
        <v>0</v>
      </c>
      <c r="C32" s="192">
        <f t="shared" si="11"/>
        <v>0</v>
      </c>
      <c r="D32" s="192">
        <f t="shared" si="11"/>
        <v>0.85</v>
      </c>
      <c r="E32" s="192">
        <f t="shared" si="11"/>
        <v>0.15</v>
      </c>
      <c r="F32" s="192">
        <f t="shared" si="11"/>
        <v>0.7</v>
      </c>
      <c r="G32" s="192">
        <f t="shared" si="11"/>
        <v>1</v>
      </c>
      <c r="H32" s="192">
        <f t="shared" si="11"/>
        <v>1</v>
      </c>
      <c r="I32" s="192">
        <f t="shared" si="11"/>
        <v>0.3</v>
      </c>
      <c r="J32" s="192">
        <f t="shared" si="11"/>
        <v>0.3</v>
      </c>
      <c r="K32" s="192">
        <f t="shared" si="11"/>
        <v>1</v>
      </c>
      <c r="L32" s="192">
        <f t="shared" si="11"/>
        <v>1</v>
      </c>
      <c r="M32" s="192">
        <f t="shared" si="11"/>
        <v>0.3</v>
      </c>
      <c r="N32" s="192">
        <f t="shared" si="11"/>
        <v>1</v>
      </c>
      <c r="O32" s="192">
        <f t="shared" si="11"/>
        <v>1</v>
      </c>
      <c r="P32" s="192">
        <f t="shared" si="11"/>
        <v>1</v>
      </c>
      <c r="Q32" s="192">
        <f t="shared" si="11"/>
        <v>1</v>
      </c>
      <c r="R32" s="192">
        <f t="shared" si="11"/>
        <v>0.3</v>
      </c>
      <c r="S32" s="192">
        <f t="shared" si="11"/>
        <v>0.3</v>
      </c>
      <c r="T32" s="192">
        <f t="shared" si="11"/>
        <v>0.3</v>
      </c>
      <c r="U32" s="192">
        <f t="shared" si="11"/>
        <v>0.3</v>
      </c>
      <c r="V32" s="192">
        <f t="shared" si="11"/>
        <v>0</v>
      </c>
      <c r="W32" s="192">
        <f t="shared" si="11"/>
        <v>0</v>
      </c>
      <c r="X32" s="192">
        <f t="shared" si="11"/>
        <v>0</v>
      </c>
      <c r="Y32" s="192">
        <f t="shared" si="11"/>
        <v>0</v>
      </c>
      <c r="Z32" s="192">
        <f t="shared" si="11"/>
        <v>0</v>
      </c>
      <c r="AA32" s="192">
        <f t="shared" si="11"/>
        <v>0</v>
      </c>
      <c r="AB32" s="189"/>
      <c r="AC32" s="189"/>
      <c r="AD32" s="189"/>
      <c r="AE32" s="189"/>
      <c r="AF32" s="189"/>
      <c r="AG32" s="147"/>
      <c r="AH32" s="147"/>
      <c r="AI32" s="147"/>
      <c r="AJ32" s="147"/>
      <c r="AK32" s="147"/>
      <c r="AL32" s="147"/>
      <c r="AM32" s="147"/>
      <c r="AN32" s="147"/>
    </row>
    <row r="33">
      <c r="A33" s="193" t="s">
        <v>142</v>
      </c>
      <c r="B33" s="194"/>
      <c r="O33" s="192">
        <v>1.0</v>
      </c>
      <c r="P33" s="192">
        <v>1.0</v>
      </c>
      <c r="Q33" s="192">
        <v>1.0</v>
      </c>
      <c r="R33" s="192">
        <v>0.3</v>
      </c>
      <c r="S33" s="192">
        <v>0.3</v>
      </c>
      <c r="T33" s="192">
        <v>0.3</v>
      </c>
      <c r="U33" s="31"/>
    </row>
    <row r="34">
      <c r="A34" s="126" t="s">
        <v>45</v>
      </c>
      <c r="B34" s="283">
        <v>191.0</v>
      </c>
      <c r="C34" s="284">
        <v>186.0</v>
      </c>
      <c r="D34" s="284">
        <f>SUM(D35:D42)</f>
        <v>111</v>
      </c>
      <c r="E34" s="284">
        <v>168.0</v>
      </c>
      <c r="F34" s="284">
        <v>192.0</v>
      </c>
      <c r="G34" s="284">
        <v>200.0</v>
      </c>
      <c r="H34" s="284">
        <v>218.0</v>
      </c>
      <c r="I34" s="284">
        <v>134.0</v>
      </c>
      <c r="J34" s="284">
        <v>160.0</v>
      </c>
      <c r="K34" s="284">
        <v>155.0</v>
      </c>
      <c r="L34" s="284">
        <v>180.0</v>
      </c>
      <c r="M34" s="284">
        <v>133.0</v>
      </c>
      <c r="N34" s="284">
        <v>151.0</v>
      </c>
      <c r="O34" s="284">
        <v>139.0</v>
      </c>
      <c r="P34" s="284">
        <v>137.0</v>
      </c>
      <c r="Q34" s="284">
        <v>113.0</v>
      </c>
      <c r="R34" s="284">
        <v>159.0</v>
      </c>
      <c r="S34" s="284">
        <v>157.0</v>
      </c>
      <c r="T34" s="284">
        <v>196.0</v>
      </c>
      <c r="U34" s="285">
        <v>150.0</v>
      </c>
      <c r="V34" s="128"/>
      <c r="W34" s="128"/>
      <c r="X34" s="128"/>
      <c r="Y34" s="128"/>
      <c r="Z34" s="128"/>
      <c r="AA34" s="128"/>
      <c r="AB34" s="128"/>
      <c r="AC34" s="128"/>
      <c r="AD34" s="130"/>
      <c r="AE34" s="130"/>
      <c r="AF34" s="130"/>
      <c r="AG34" s="130"/>
      <c r="AH34" s="130"/>
      <c r="AI34" s="130"/>
      <c r="AJ34" s="130"/>
      <c r="AK34" s="130"/>
      <c r="AL34" s="130"/>
      <c r="AM34" s="130"/>
      <c r="AN34" s="130"/>
    </row>
    <row r="35" hidden="1">
      <c r="A35" s="202" t="s">
        <v>288</v>
      </c>
      <c r="B35" s="205"/>
      <c r="C35" s="205"/>
      <c r="D35" s="133">
        <v>18.0</v>
      </c>
      <c r="E35" s="133">
        <v>21.0</v>
      </c>
      <c r="F35" s="133">
        <v>37.0</v>
      </c>
      <c r="G35" s="133">
        <v>45.0</v>
      </c>
      <c r="H35" s="133">
        <v>43.0</v>
      </c>
      <c r="I35" s="133"/>
      <c r="J35" s="130"/>
      <c r="K35" s="130"/>
      <c r="L35" s="130"/>
      <c r="M35" s="130"/>
      <c r="N35" s="130"/>
      <c r="O35" s="130"/>
      <c r="P35" s="130"/>
      <c r="Q35" s="133"/>
      <c r="R35" s="133"/>
      <c r="S35" s="133"/>
      <c r="T35" s="133"/>
      <c r="U35" s="134"/>
      <c r="V35" s="133"/>
      <c r="W35" s="133"/>
      <c r="X35" s="133"/>
      <c r="Y35" s="133"/>
      <c r="Z35" s="133"/>
      <c r="AA35" s="133"/>
      <c r="AB35" s="133"/>
      <c r="AC35" s="130"/>
      <c r="AD35" s="130"/>
      <c r="AE35" s="130"/>
      <c r="AF35" s="130"/>
      <c r="AG35" s="130"/>
      <c r="AH35" s="130"/>
      <c r="AI35" s="130"/>
      <c r="AJ35" s="130"/>
      <c r="AK35" s="130"/>
      <c r="AL35" s="130"/>
      <c r="AM35" s="130"/>
      <c r="AN35" s="130"/>
    </row>
    <row r="36">
      <c r="A36" s="202" t="s">
        <v>289</v>
      </c>
      <c r="B36" s="286">
        <v>53.0</v>
      </c>
      <c r="C36" s="201">
        <v>50.0</v>
      </c>
      <c r="D36" s="133">
        <v>44.0</v>
      </c>
      <c r="E36" s="133">
        <v>30.0</v>
      </c>
      <c r="F36" s="133">
        <v>52.0</v>
      </c>
      <c r="G36" s="133">
        <v>53.0</v>
      </c>
      <c r="H36" s="133">
        <v>46.0</v>
      </c>
      <c r="I36" s="133">
        <v>47.0</v>
      </c>
      <c r="J36" s="133">
        <v>52.0</v>
      </c>
      <c r="K36" s="133">
        <v>54.0</v>
      </c>
      <c r="L36" s="133">
        <v>48.0</v>
      </c>
      <c r="M36" s="133">
        <v>36.0</v>
      </c>
      <c r="N36" s="133">
        <v>24.0</v>
      </c>
      <c r="O36" s="133">
        <v>50.0</v>
      </c>
      <c r="P36" s="133">
        <v>44.0</v>
      </c>
      <c r="Q36" s="133">
        <v>29.0</v>
      </c>
      <c r="R36" s="133">
        <v>47.0</v>
      </c>
      <c r="S36" s="133">
        <v>36.0</v>
      </c>
      <c r="T36" s="133">
        <v>50.0</v>
      </c>
      <c r="U36" s="134">
        <v>50.0</v>
      </c>
      <c r="V36" s="130"/>
      <c r="W36" s="130"/>
      <c r="X36" s="130"/>
      <c r="Y36" s="130"/>
      <c r="Z36" s="130"/>
      <c r="AA36" s="130"/>
      <c r="AB36" s="130"/>
      <c r="AC36" s="130"/>
      <c r="AD36" s="130"/>
      <c r="AE36" s="130"/>
      <c r="AF36" s="130"/>
      <c r="AG36" s="130"/>
      <c r="AH36" s="130"/>
      <c r="AI36" s="130"/>
      <c r="AJ36" s="130"/>
      <c r="AK36" s="130"/>
      <c r="AL36" s="130"/>
      <c r="AM36" s="130"/>
      <c r="AN36" s="130"/>
    </row>
    <row r="37" hidden="1">
      <c r="A37" s="202" t="s">
        <v>290</v>
      </c>
      <c r="B37" s="286">
        <v>46.0</v>
      </c>
      <c r="C37" s="201">
        <v>40.0</v>
      </c>
      <c r="D37" s="130"/>
      <c r="E37" s="130"/>
      <c r="F37" s="130"/>
      <c r="G37" s="130"/>
      <c r="H37" s="130"/>
      <c r="I37" s="130"/>
      <c r="J37" s="130"/>
      <c r="K37" s="130"/>
      <c r="L37" s="130"/>
      <c r="M37" s="130"/>
      <c r="N37" s="130"/>
      <c r="O37" s="130"/>
      <c r="P37" s="130"/>
      <c r="Q37" s="133"/>
      <c r="R37" s="133"/>
      <c r="S37" s="133"/>
      <c r="T37" s="133"/>
      <c r="U37" s="134"/>
      <c r="V37" s="133"/>
      <c r="W37" s="133"/>
      <c r="X37" s="133"/>
      <c r="Y37" s="133"/>
      <c r="Z37" s="133"/>
      <c r="AA37" s="133"/>
      <c r="AB37" s="133"/>
      <c r="AC37" s="130"/>
      <c r="AD37" s="130"/>
      <c r="AE37" s="130"/>
      <c r="AF37" s="130"/>
      <c r="AG37" s="130"/>
      <c r="AH37" s="130"/>
      <c r="AI37" s="130"/>
      <c r="AJ37" s="130"/>
      <c r="AK37" s="130"/>
      <c r="AL37" s="130"/>
      <c r="AM37" s="130"/>
      <c r="AN37" s="130"/>
    </row>
    <row r="38" hidden="1">
      <c r="A38" s="202" t="s">
        <v>291</v>
      </c>
      <c r="B38" s="205"/>
      <c r="C38" s="205"/>
      <c r="D38" s="133">
        <v>41.0</v>
      </c>
      <c r="E38" s="133">
        <v>31.0</v>
      </c>
      <c r="F38" s="133">
        <v>32.0</v>
      </c>
      <c r="G38" s="133">
        <v>34.0</v>
      </c>
      <c r="H38" s="133">
        <v>40.0</v>
      </c>
      <c r="I38" s="130"/>
      <c r="J38" s="130"/>
      <c r="K38" s="130"/>
      <c r="L38" s="130"/>
      <c r="M38" s="130"/>
      <c r="N38" s="130"/>
      <c r="O38" s="130"/>
      <c r="P38" s="130"/>
      <c r="Q38" s="133"/>
      <c r="R38" s="133"/>
      <c r="S38" s="133"/>
      <c r="T38" s="133"/>
      <c r="U38" s="134"/>
      <c r="V38" s="133"/>
      <c r="W38" s="133"/>
      <c r="X38" s="133"/>
      <c r="Y38" s="133"/>
      <c r="Z38" s="133"/>
      <c r="AA38" s="133"/>
      <c r="AB38" s="133"/>
      <c r="AC38" s="130"/>
      <c r="AD38" s="130"/>
      <c r="AE38" s="130"/>
      <c r="AF38" s="130"/>
      <c r="AG38" s="130"/>
      <c r="AH38" s="130"/>
      <c r="AI38" s="130"/>
      <c r="AJ38" s="130"/>
      <c r="AK38" s="130"/>
      <c r="AL38" s="130"/>
      <c r="AM38" s="130"/>
      <c r="AN38" s="130"/>
    </row>
    <row r="39" hidden="1">
      <c r="A39" s="202" t="s">
        <v>292</v>
      </c>
      <c r="B39" s="286">
        <v>45.0</v>
      </c>
      <c r="C39" s="201">
        <v>44.0</v>
      </c>
      <c r="D39" s="130"/>
      <c r="E39" s="130"/>
      <c r="F39" s="130"/>
      <c r="G39" s="130"/>
      <c r="H39" s="130"/>
      <c r="I39" s="130"/>
      <c r="J39" s="130"/>
      <c r="K39" s="130"/>
      <c r="L39" s="130"/>
      <c r="M39" s="130"/>
      <c r="N39" s="130"/>
      <c r="O39" s="130"/>
      <c r="P39" s="130"/>
      <c r="Q39" s="133"/>
      <c r="R39" s="133"/>
      <c r="S39" s="133"/>
      <c r="T39" s="133"/>
      <c r="U39" s="134"/>
      <c r="V39" s="133"/>
      <c r="W39" s="133"/>
      <c r="X39" s="133"/>
      <c r="Y39" s="133"/>
      <c r="Z39" s="133"/>
      <c r="AA39" s="133"/>
      <c r="AB39" s="133"/>
      <c r="AC39" s="130"/>
      <c r="AD39" s="130"/>
      <c r="AE39" s="130"/>
      <c r="AF39" s="130"/>
      <c r="AG39" s="130"/>
      <c r="AH39" s="130"/>
      <c r="AI39" s="130"/>
      <c r="AJ39" s="130"/>
      <c r="AK39" s="130"/>
      <c r="AL39" s="130"/>
      <c r="AM39" s="130"/>
      <c r="AN39" s="130"/>
    </row>
    <row r="40">
      <c r="A40" s="287" t="s">
        <v>293</v>
      </c>
      <c r="B40" s="286"/>
      <c r="C40" s="201"/>
      <c r="D40" s="133">
        <v>8.0</v>
      </c>
      <c r="E40" s="133">
        <v>28.0</v>
      </c>
      <c r="F40" s="133">
        <v>21.0</v>
      </c>
      <c r="G40" s="133">
        <v>21.0</v>
      </c>
      <c r="H40" s="133">
        <v>37.0</v>
      </c>
      <c r="I40" s="133">
        <v>35.0</v>
      </c>
      <c r="J40" s="133">
        <v>45.0</v>
      </c>
      <c r="K40" s="133">
        <v>38.0</v>
      </c>
      <c r="L40" s="133">
        <v>47.0</v>
      </c>
      <c r="M40" s="133">
        <v>42.0</v>
      </c>
      <c r="N40" s="133">
        <v>45.0</v>
      </c>
      <c r="O40" s="133">
        <v>39.0</v>
      </c>
      <c r="P40" s="133">
        <v>41.0</v>
      </c>
      <c r="Q40" s="133">
        <v>26.0</v>
      </c>
      <c r="R40" s="133">
        <v>38.0</v>
      </c>
      <c r="S40" s="133">
        <v>50.0</v>
      </c>
      <c r="T40" s="133">
        <v>41.0</v>
      </c>
      <c r="U40" s="134">
        <v>52.0</v>
      </c>
      <c r="V40" s="133"/>
      <c r="W40" s="133"/>
      <c r="X40" s="133"/>
      <c r="Y40" s="133"/>
      <c r="Z40" s="133"/>
      <c r="AA40" s="133"/>
      <c r="AB40" s="133"/>
      <c r="AC40" s="130"/>
      <c r="AD40" s="130"/>
      <c r="AE40" s="130"/>
      <c r="AF40" s="130"/>
      <c r="AG40" s="130"/>
      <c r="AH40" s="130"/>
      <c r="AI40" s="130"/>
      <c r="AJ40" s="130"/>
      <c r="AK40" s="130"/>
      <c r="AL40" s="130"/>
      <c r="AM40" s="130"/>
      <c r="AN40" s="130"/>
    </row>
    <row r="41" hidden="1">
      <c r="A41" s="202" t="s">
        <v>221</v>
      </c>
      <c r="B41" s="286">
        <v>47.0</v>
      </c>
      <c r="C41" s="201">
        <v>52.0</v>
      </c>
      <c r="D41" s="130"/>
      <c r="E41" s="130"/>
      <c r="F41" s="130"/>
      <c r="G41" s="130"/>
      <c r="H41" s="130"/>
      <c r="I41" s="130"/>
      <c r="J41" s="130"/>
      <c r="K41" s="130"/>
      <c r="L41" s="130"/>
      <c r="M41" s="130"/>
      <c r="N41" s="130"/>
      <c r="O41" s="130"/>
      <c r="P41" s="130"/>
      <c r="Q41" s="133"/>
      <c r="R41" s="133"/>
      <c r="S41" s="133"/>
      <c r="T41" s="133"/>
      <c r="U41" s="134"/>
      <c r="V41" s="133"/>
      <c r="W41" s="133"/>
      <c r="X41" s="133"/>
      <c r="Y41" s="133"/>
      <c r="Z41" s="133"/>
      <c r="AA41" s="133"/>
      <c r="AB41" s="133"/>
      <c r="AC41" s="130"/>
      <c r="AD41" s="130"/>
      <c r="AE41" s="130"/>
      <c r="AF41" s="130"/>
      <c r="AG41" s="130"/>
      <c r="AH41" s="130"/>
      <c r="AI41" s="130"/>
      <c r="AJ41" s="130"/>
      <c r="AK41" s="130"/>
      <c r="AL41" s="130"/>
      <c r="AM41" s="130"/>
      <c r="AN41" s="130"/>
    </row>
    <row r="42" hidden="1">
      <c r="A42" s="202" t="s">
        <v>294</v>
      </c>
      <c r="B42" s="205"/>
      <c r="C42" s="205"/>
      <c r="D42" s="130"/>
      <c r="E42" s="133">
        <v>45.0</v>
      </c>
      <c r="F42" s="133">
        <v>50.0</v>
      </c>
      <c r="G42" s="133">
        <v>47.0</v>
      </c>
      <c r="H42" s="133">
        <v>52.0</v>
      </c>
      <c r="I42" s="133">
        <v>52.0</v>
      </c>
      <c r="J42" s="133">
        <v>37.0</v>
      </c>
      <c r="K42" s="133">
        <v>44.0</v>
      </c>
      <c r="L42" s="133">
        <v>50.0</v>
      </c>
      <c r="M42" s="133">
        <v>44.0</v>
      </c>
      <c r="N42" s="133">
        <v>48.0</v>
      </c>
      <c r="O42" s="133">
        <v>42.0</v>
      </c>
      <c r="P42" s="133">
        <v>39.0</v>
      </c>
      <c r="Q42" s="133">
        <v>26.0</v>
      </c>
      <c r="R42" s="133">
        <v>37.0</v>
      </c>
      <c r="S42" s="133">
        <v>37.0</v>
      </c>
      <c r="T42" s="133">
        <v>47.0</v>
      </c>
      <c r="U42" s="134"/>
      <c r="V42" s="133"/>
      <c r="W42" s="133"/>
      <c r="X42" s="133"/>
      <c r="Y42" s="133"/>
      <c r="Z42" s="133"/>
      <c r="AA42" s="133"/>
      <c r="AB42" s="133"/>
      <c r="AC42" s="130"/>
      <c r="AD42" s="130"/>
      <c r="AE42" s="130"/>
      <c r="AF42" s="130"/>
      <c r="AG42" s="130"/>
      <c r="AH42" s="130"/>
      <c r="AI42" s="130"/>
      <c r="AJ42" s="130"/>
      <c r="AK42" s="130"/>
      <c r="AL42" s="130"/>
      <c r="AM42" s="130"/>
      <c r="AN42" s="130"/>
    </row>
    <row r="43">
      <c r="A43" s="287" t="s">
        <v>295</v>
      </c>
      <c r="B43" s="205"/>
      <c r="C43" s="205"/>
      <c r="D43" s="130"/>
      <c r="E43" s="133"/>
      <c r="F43" s="133"/>
      <c r="G43" s="133"/>
      <c r="H43" s="133"/>
      <c r="I43" s="133"/>
      <c r="J43" s="133"/>
      <c r="K43" s="133"/>
      <c r="L43" s="133"/>
      <c r="M43" s="133"/>
      <c r="N43" s="133"/>
      <c r="O43" s="133">
        <v>8.0</v>
      </c>
      <c r="P43" s="133">
        <v>13.0</v>
      </c>
      <c r="Q43" s="133">
        <v>20.0</v>
      </c>
      <c r="R43" s="133">
        <v>34.0</v>
      </c>
      <c r="S43" s="133">
        <v>34.0</v>
      </c>
      <c r="T43" s="133">
        <v>34.0</v>
      </c>
      <c r="U43" s="134">
        <v>29.0</v>
      </c>
      <c r="V43" s="133"/>
      <c r="W43" s="133"/>
      <c r="X43" s="133"/>
      <c r="Y43" s="133"/>
      <c r="Z43" s="133"/>
      <c r="AA43" s="133"/>
      <c r="AB43" s="133"/>
      <c r="AC43" s="130"/>
      <c r="AD43" s="130"/>
      <c r="AE43" s="130"/>
      <c r="AF43" s="130"/>
      <c r="AG43" s="130"/>
      <c r="AH43" s="130"/>
      <c r="AI43" s="130"/>
      <c r="AJ43" s="130"/>
      <c r="AK43" s="130"/>
      <c r="AL43" s="130"/>
      <c r="AM43" s="130"/>
      <c r="AN43" s="130"/>
    </row>
    <row r="44" hidden="1">
      <c r="A44" s="287" t="s">
        <v>296</v>
      </c>
      <c r="B44" s="205"/>
      <c r="C44" s="205"/>
      <c r="D44" s="130"/>
      <c r="E44" s="133">
        <v>10.0</v>
      </c>
      <c r="F44" s="133"/>
      <c r="G44" s="133"/>
      <c r="H44" s="133"/>
      <c r="I44" s="133"/>
      <c r="J44" s="133">
        <v>10.0</v>
      </c>
      <c r="K44" s="133">
        <v>8.0</v>
      </c>
      <c r="L44" s="133">
        <v>10.0</v>
      </c>
      <c r="M44" s="133">
        <v>5.0</v>
      </c>
      <c r="N44" s="133">
        <v>8.0</v>
      </c>
      <c r="O44" s="133">
        <v>0.0</v>
      </c>
      <c r="P44" s="130"/>
      <c r="Q44" s="133"/>
      <c r="R44" s="133"/>
      <c r="S44" s="133"/>
      <c r="T44" s="133"/>
      <c r="U44" s="134"/>
      <c r="V44" s="133"/>
      <c r="W44" s="133"/>
      <c r="X44" s="133"/>
      <c r="Y44" s="133"/>
      <c r="Z44" s="133"/>
      <c r="AA44" s="133"/>
      <c r="AB44" s="133"/>
      <c r="AC44" s="130"/>
      <c r="AD44" s="130"/>
      <c r="AE44" s="130"/>
      <c r="AF44" s="130"/>
      <c r="AG44" s="130"/>
      <c r="AH44" s="130"/>
      <c r="AI44" s="130"/>
      <c r="AJ44" s="130"/>
      <c r="AK44" s="130"/>
      <c r="AL44" s="130"/>
      <c r="AM44" s="130"/>
      <c r="AN44" s="130"/>
    </row>
    <row r="45">
      <c r="A45" s="287" t="s">
        <v>297</v>
      </c>
      <c r="B45" s="205"/>
      <c r="C45" s="205"/>
      <c r="D45" s="130"/>
      <c r="E45" s="133">
        <v>3.0</v>
      </c>
      <c r="F45" s="133"/>
      <c r="G45" s="133"/>
      <c r="H45" s="133"/>
      <c r="I45" s="133"/>
      <c r="J45" s="133">
        <v>8.0</v>
      </c>
      <c r="K45" s="133">
        <v>6.0</v>
      </c>
      <c r="L45" s="133">
        <v>18.0</v>
      </c>
      <c r="M45" s="133">
        <v>0.0</v>
      </c>
      <c r="N45" s="133">
        <v>8.0</v>
      </c>
      <c r="O45" s="133">
        <v>0.0</v>
      </c>
      <c r="P45" s="133">
        <v>0.0</v>
      </c>
      <c r="Q45" s="133">
        <v>4.0</v>
      </c>
      <c r="R45" s="133">
        <v>0.0</v>
      </c>
      <c r="S45" s="133"/>
      <c r="T45" s="133">
        <v>11.0</v>
      </c>
      <c r="U45" s="134">
        <v>0.0</v>
      </c>
      <c r="V45" s="133"/>
      <c r="W45" s="133"/>
      <c r="X45" s="133"/>
      <c r="Y45" s="133"/>
      <c r="Z45" s="133"/>
      <c r="AA45" s="133"/>
      <c r="AB45" s="133"/>
      <c r="AC45" s="130"/>
      <c r="AD45" s="130"/>
      <c r="AE45" s="130"/>
      <c r="AF45" s="130"/>
      <c r="AG45" s="130"/>
      <c r="AH45" s="130"/>
      <c r="AI45" s="130"/>
      <c r="AJ45" s="130"/>
      <c r="AK45" s="130"/>
      <c r="AL45" s="130"/>
      <c r="AM45" s="130"/>
      <c r="AN45" s="130"/>
    </row>
    <row r="46">
      <c r="A46" s="287" t="s">
        <v>298</v>
      </c>
      <c r="B46" s="205"/>
      <c r="C46" s="205"/>
      <c r="D46" s="130"/>
      <c r="E46" s="133"/>
      <c r="F46" s="133"/>
      <c r="G46" s="133"/>
      <c r="H46" s="133"/>
      <c r="I46" s="133"/>
      <c r="J46" s="133">
        <v>8.0</v>
      </c>
      <c r="K46" s="133">
        <v>5.0</v>
      </c>
      <c r="L46" s="133">
        <v>7.0</v>
      </c>
      <c r="M46" s="133">
        <v>6.0</v>
      </c>
      <c r="N46" s="133">
        <v>18.0</v>
      </c>
      <c r="O46" s="133">
        <v>0.0</v>
      </c>
      <c r="P46" s="133">
        <v>0.0</v>
      </c>
      <c r="Q46" s="133">
        <v>3.0</v>
      </c>
      <c r="R46" s="133">
        <v>0.0</v>
      </c>
      <c r="S46" s="133"/>
      <c r="T46" s="288">
        <v>5.0</v>
      </c>
      <c r="U46" s="133">
        <v>0.0</v>
      </c>
      <c r="V46" s="133"/>
      <c r="W46" s="133"/>
      <c r="X46" s="133"/>
      <c r="Y46" s="133"/>
      <c r="Z46" s="133"/>
      <c r="AA46" s="133"/>
      <c r="AB46" s="133"/>
      <c r="AC46" s="130"/>
      <c r="AD46" s="130"/>
      <c r="AE46" s="130"/>
      <c r="AF46" s="130"/>
      <c r="AG46" s="130"/>
      <c r="AH46" s="130"/>
      <c r="AI46" s="130"/>
      <c r="AJ46" s="130"/>
      <c r="AK46" s="130"/>
      <c r="AL46" s="130"/>
      <c r="AM46" s="130"/>
      <c r="AN46" s="130"/>
    </row>
    <row r="47">
      <c r="A47" s="287" t="s">
        <v>299</v>
      </c>
      <c r="B47" s="205"/>
      <c r="C47" s="205"/>
      <c r="D47" s="130"/>
      <c r="E47" s="133"/>
      <c r="F47" s="133"/>
      <c r="G47" s="133"/>
      <c r="H47" s="133"/>
      <c r="I47" s="133"/>
      <c r="J47" s="133"/>
      <c r="K47" s="133"/>
      <c r="L47" s="133"/>
      <c r="M47" s="133"/>
      <c r="N47" s="133"/>
      <c r="O47" s="133"/>
      <c r="P47" s="133"/>
      <c r="Q47" s="133">
        <v>5.0</v>
      </c>
      <c r="R47" s="133"/>
      <c r="S47" s="133"/>
      <c r="T47" s="288">
        <v>3.0</v>
      </c>
      <c r="U47" s="133">
        <v>8.0</v>
      </c>
      <c r="V47" s="133"/>
      <c r="W47" s="133"/>
      <c r="X47" s="133"/>
      <c r="Y47" s="133"/>
      <c r="Z47" s="133"/>
      <c r="AA47" s="133"/>
      <c r="AB47" s="133"/>
      <c r="AC47" s="130"/>
      <c r="AD47" s="130"/>
      <c r="AE47" s="130"/>
      <c r="AF47" s="130"/>
      <c r="AG47" s="130"/>
      <c r="AH47" s="130"/>
      <c r="AI47" s="130"/>
      <c r="AJ47" s="130"/>
      <c r="AK47" s="130"/>
      <c r="AL47" s="130"/>
      <c r="AM47" s="130"/>
      <c r="AN47" s="130"/>
    </row>
    <row r="48">
      <c r="A48" s="287" t="s">
        <v>300</v>
      </c>
      <c r="B48" s="205"/>
      <c r="C48" s="205"/>
      <c r="D48" s="130"/>
      <c r="E48" s="133"/>
      <c r="F48" s="133"/>
      <c r="G48" s="133"/>
      <c r="H48" s="133"/>
      <c r="I48" s="133"/>
      <c r="J48" s="133"/>
      <c r="K48" s="133"/>
      <c r="L48" s="133"/>
      <c r="M48" s="133"/>
      <c r="N48" s="133"/>
      <c r="O48" s="133"/>
      <c r="P48" s="133"/>
      <c r="Q48" s="133"/>
      <c r="R48" s="133"/>
      <c r="S48" s="133"/>
      <c r="T48" s="133">
        <v>5.0</v>
      </c>
      <c r="U48" s="134">
        <v>11.0</v>
      </c>
      <c r="V48" s="133"/>
      <c r="W48" s="133"/>
      <c r="X48" s="133"/>
      <c r="Y48" s="133"/>
      <c r="Z48" s="133"/>
      <c r="AA48" s="133"/>
      <c r="AB48" s="133"/>
      <c r="AC48" s="130"/>
      <c r="AD48" s="130"/>
      <c r="AE48" s="130"/>
      <c r="AF48" s="130"/>
      <c r="AG48" s="130"/>
      <c r="AH48" s="130"/>
      <c r="AI48" s="130"/>
      <c r="AJ48" s="130"/>
      <c r="AK48" s="130"/>
      <c r="AL48" s="130"/>
      <c r="AM48" s="130"/>
      <c r="AN48" s="130"/>
    </row>
    <row r="49">
      <c r="A49" s="126" t="s">
        <v>46</v>
      </c>
      <c r="B49" s="283">
        <v>109.0</v>
      </c>
      <c r="C49" s="128">
        <f t="shared" ref="C49:E49" si="12">SUM(C50:C58)</f>
        <v>114</v>
      </c>
      <c r="D49" s="128">
        <f t="shared" si="12"/>
        <v>92</v>
      </c>
      <c r="E49" s="128">
        <f t="shared" si="12"/>
        <v>146</v>
      </c>
      <c r="F49" s="284">
        <v>132.0</v>
      </c>
      <c r="G49" s="284">
        <v>132.0</v>
      </c>
      <c r="H49" s="284">
        <v>181.0</v>
      </c>
      <c r="I49" s="284">
        <v>92.0</v>
      </c>
      <c r="J49" s="284">
        <v>142.0</v>
      </c>
      <c r="K49" s="284">
        <v>151.0</v>
      </c>
      <c r="L49" s="284">
        <v>147.0</v>
      </c>
      <c r="M49" s="284">
        <v>112.0</v>
      </c>
      <c r="N49" s="284">
        <v>110.0</v>
      </c>
      <c r="O49" s="289">
        <v>97.0</v>
      </c>
      <c r="P49" s="284">
        <v>132.0</v>
      </c>
      <c r="Q49" s="284">
        <v>75.0</v>
      </c>
      <c r="R49" s="284">
        <v>154.0</v>
      </c>
      <c r="S49" s="284">
        <v>111.0</v>
      </c>
      <c r="T49" s="284">
        <v>62.0</v>
      </c>
      <c r="U49" s="285">
        <v>53.0</v>
      </c>
      <c r="V49" s="128"/>
      <c r="W49" s="128"/>
      <c r="X49" s="128"/>
      <c r="Y49" s="128"/>
      <c r="Z49" s="128"/>
      <c r="AA49" s="128"/>
      <c r="AB49" s="128"/>
      <c r="AC49" s="128"/>
      <c r="AD49" s="130"/>
      <c r="AE49" s="130"/>
      <c r="AF49" s="130"/>
      <c r="AG49" s="130"/>
      <c r="AH49" s="130"/>
      <c r="AI49" s="130"/>
      <c r="AJ49" s="130"/>
      <c r="AK49" s="130"/>
      <c r="AL49" s="130"/>
      <c r="AM49" s="130"/>
      <c r="AN49" s="130"/>
    </row>
    <row r="50" hidden="1">
      <c r="A50" s="202" t="s">
        <v>288</v>
      </c>
      <c r="B50" s="205"/>
      <c r="C50" s="133"/>
      <c r="D50" s="133">
        <v>19.0</v>
      </c>
      <c r="E50" s="133">
        <v>21.0</v>
      </c>
      <c r="F50" s="133">
        <v>32.0</v>
      </c>
      <c r="G50" s="133">
        <v>32.0</v>
      </c>
      <c r="H50" s="133">
        <v>43.0</v>
      </c>
      <c r="I50" s="133"/>
      <c r="J50" s="133"/>
      <c r="K50" s="133"/>
      <c r="L50" s="133"/>
      <c r="M50" s="133"/>
      <c r="N50" s="133"/>
      <c r="O50" s="200"/>
      <c r="P50" s="133"/>
      <c r="Q50" s="133"/>
      <c r="R50" s="133"/>
      <c r="S50" s="133"/>
      <c r="T50" s="133"/>
      <c r="U50" s="134"/>
      <c r="V50" s="133"/>
      <c r="W50" s="133"/>
      <c r="X50" s="133"/>
      <c r="Y50" s="133"/>
      <c r="Z50" s="133"/>
      <c r="AA50" s="133"/>
      <c r="AB50" s="130"/>
      <c r="AC50" s="130"/>
      <c r="AD50" s="130"/>
      <c r="AE50" s="130"/>
      <c r="AF50" s="130"/>
      <c r="AG50" s="130"/>
      <c r="AH50" s="130"/>
      <c r="AI50" s="130"/>
      <c r="AJ50" s="130"/>
      <c r="AK50" s="130"/>
      <c r="AL50" s="130"/>
      <c r="AM50" s="130"/>
      <c r="AN50" s="130"/>
    </row>
    <row r="51">
      <c r="A51" s="202" t="s">
        <v>289</v>
      </c>
      <c r="B51" s="286">
        <v>23.0</v>
      </c>
      <c r="C51" s="133">
        <v>41.0</v>
      </c>
      <c r="D51" s="133">
        <v>38.0</v>
      </c>
      <c r="E51" s="133">
        <v>20.0</v>
      </c>
      <c r="F51" s="133">
        <v>18.0</v>
      </c>
      <c r="G51" s="133">
        <v>47.0</v>
      </c>
      <c r="H51" s="133">
        <v>24.0</v>
      </c>
      <c r="I51" s="133">
        <v>49.0</v>
      </c>
      <c r="J51" s="133">
        <v>52.0</v>
      </c>
      <c r="K51" s="133">
        <v>44.0</v>
      </c>
      <c r="L51" s="133">
        <v>40.0</v>
      </c>
      <c r="M51" s="133">
        <v>32.0</v>
      </c>
      <c r="N51" s="133">
        <v>1.0</v>
      </c>
      <c r="O51" s="200">
        <v>29.0</v>
      </c>
      <c r="P51" s="133">
        <v>36.0</v>
      </c>
      <c r="Q51" s="133">
        <v>3.0</v>
      </c>
      <c r="R51" s="133">
        <v>43.0</v>
      </c>
      <c r="S51" s="133">
        <v>25.0</v>
      </c>
      <c r="T51" s="133">
        <v>14.0</v>
      </c>
      <c r="U51" s="134">
        <v>0.0</v>
      </c>
      <c r="V51" s="130"/>
      <c r="W51" s="130"/>
      <c r="X51" s="130"/>
      <c r="Y51" s="130"/>
      <c r="Z51" s="130"/>
      <c r="AA51" s="130"/>
      <c r="AB51" s="130"/>
      <c r="AC51" s="130"/>
      <c r="AD51" s="130"/>
      <c r="AE51" s="130"/>
      <c r="AF51" s="130"/>
      <c r="AG51" s="130"/>
      <c r="AH51" s="130"/>
      <c r="AI51" s="130"/>
      <c r="AJ51" s="130"/>
      <c r="AK51" s="130"/>
      <c r="AL51" s="130"/>
      <c r="AM51" s="130"/>
      <c r="AN51" s="130"/>
    </row>
    <row r="52" hidden="1">
      <c r="A52" s="202" t="s">
        <v>290</v>
      </c>
      <c r="B52" s="286">
        <v>11.0</v>
      </c>
      <c r="C52" s="133">
        <v>19.0</v>
      </c>
      <c r="D52" s="133"/>
      <c r="E52" s="130"/>
      <c r="F52" s="133"/>
      <c r="G52" s="133"/>
      <c r="H52" s="133"/>
      <c r="I52" s="133"/>
      <c r="J52" s="133"/>
      <c r="K52" s="133"/>
      <c r="L52" s="133"/>
      <c r="M52" s="133"/>
      <c r="N52" s="133"/>
      <c r="O52" s="200"/>
      <c r="P52" s="130"/>
      <c r="Q52" s="130"/>
      <c r="R52" s="130"/>
      <c r="S52" s="130"/>
      <c r="T52" s="130"/>
      <c r="U52" s="135"/>
      <c r="V52" s="130"/>
      <c r="W52" s="130"/>
      <c r="X52" s="130"/>
      <c r="Y52" s="130"/>
      <c r="Z52" s="130"/>
      <c r="AA52" s="130"/>
      <c r="AB52" s="130"/>
      <c r="AC52" s="130"/>
      <c r="AD52" s="130"/>
      <c r="AE52" s="130"/>
      <c r="AF52" s="130"/>
      <c r="AG52" s="130"/>
      <c r="AH52" s="130"/>
      <c r="AI52" s="130"/>
      <c r="AJ52" s="130"/>
      <c r="AK52" s="130"/>
      <c r="AL52" s="130"/>
      <c r="AM52" s="130"/>
      <c r="AN52" s="130"/>
    </row>
    <row r="53" hidden="1">
      <c r="A53" s="202" t="s">
        <v>291</v>
      </c>
      <c r="B53" s="205"/>
      <c r="C53" s="133"/>
      <c r="D53" s="133">
        <v>25.0</v>
      </c>
      <c r="E53" s="133">
        <v>27.0</v>
      </c>
      <c r="F53" s="133">
        <v>19.0</v>
      </c>
      <c r="G53" s="133">
        <v>24.0</v>
      </c>
      <c r="H53" s="133">
        <v>35.0</v>
      </c>
      <c r="I53" s="133"/>
      <c r="J53" s="133"/>
      <c r="K53" s="133"/>
      <c r="L53" s="133"/>
      <c r="M53" s="133"/>
      <c r="N53" s="133"/>
      <c r="O53" s="200"/>
      <c r="P53" s="133"/>
      <c r="Q53" s="133"/>
      <c r="R53" s="133"/>
      <c r="S53" s="133"/>
      <c r="T53" s="133"/>
      <c r="U53" s="134"/>
      <c r="V53" s="133"/>
      <c r="W53" s="133"/>
      <c r="X53" s="133"/>
      <c r="Y53" s="133"/>
      <c r="Z53" s="133"/>
      <c r="AA53" s="133"/>
      <c r="AB53" s="130"/>
      <c r="AC53" s="130"/>
      <c r="AD53" s="130"/>
      <c r="AE53" s="130"/>
      <c r="AF53" s="130"/>
      <c r="AG53" s="130"/>
      <c r="AH53" s="130"/>
      <c r="AI53" s="130"/>
      <c r="AJ53" s="130"/>
      <c r="AK53" s="130"/>
      <c r="AL53" s="130"/>
      <c r="AM53" s="130"/>
      <c r="AN53" s="130"/>
    </row>
    <row r="54" hidden="1">
      <c r="A54" s="202" t="s">
        <v>292</v>
      </c>
      <c r="B54" s="290">
        <v>70.0</v>
      </c>
      <c r="C54" s="133">
        <v>45.0</v>
      </c>
      <c r="D54" s="130"/>
      <c r="E54" s="130"/>
      <c r="F54" s="130"/>
      <c r="G54" s="130"/>
      <c r="H54" s="130"/>
      <c r="I54" s="130"/>
      <c r="J54" s="130"/>
      <c r="K54" s="130"/>
      <c r="L54" s="130"/>
      <c r="M54" s="130"/>
      <c r="N54" s="130"/>
      <c r="O54" s="291"/>
      <c r="P54" s="130"/>
      <c r="Q54" s="133"/>
      <c r="R54" s="133"/>
      <c r="S54" s="133"/>
      <c r="T54" s="133"/>
      <c r="U54" s="134"/>
      <c r="V54" s="133"/>
      <c r="W54" s="133"/>
      <c r="X54" s="133"/>
      <c r="Y54" s="133"/>
      <c r="Z54" s="133"/>
      <c r="AA54" s="133"/>
      <c r="AB54" s="133"/>
      <c r="AC54" s="130"/>
      <c r="AD54" s="130"/>
      <c r="AE54" s="130"/>
      <c r="AF54" s="130"/>
      <c r="AG54" s="130"/>
      <c r="AH54" s="130"/>
      <c r="AI54" s="130"/>
      <c r="AJ54" s="130"/>
      <c r="AK54" s="130"/>
      <c r="AL54" s="130"/>
      <c r="AM54" s="130"/>
      <c r="AN54" s="130"/>
    </row>
    <row r="55">
      <c r="A55" s="287" t="s">
        <v>293</v>
      </c>
      <c r="B55" s="290"/>
      <c r="C55" s="133"/>
      <c r="D55" s="133">
        <v>10.0</v>
      </c>
      <c r="E55" s="133">
        <v>34.0</v>
      </c>
      <c r="F55" s="133">
        <v>21.0</v>
      </c>
      <c r="G55" s="133">
        <v>32.0</v>
      </c>
      <c r="H55" s="133">
        <v>40.0</v>
      </c>
      <c r="I55" s="133">
        <v>35.0</v>
      </c>
      <c r="J55" s="133">
        <v>48.0</v>
      </c>
      <c r="K55" s="133">
        <v>51.0</v>
      </c>
      <c r="L55" s="133">
        <v>31.0</v>
      </c>
      <c r="M55" s="133">
        <v>25.0</v>
      </c>
      <c r="N55" s="133">
        <v>40.0</v>
      </c>
      <c r="O55" s="200">
        <v>25.0</v>
      </c>
      <c r="P55" s="133">
        <v>36.0</v>
      </c>
      <c r="Q55" s="133">
        <v>24.0</v>
      </c>
      <c r="R55" s="133">
        <v>51.0</v>
      </c>
      <c r="S55" s="133">
        <v>42.0</v>
      </c>
      <c r="T55" s="133">
        <v>5.0</v>
      </c>
      <c r="U55" s="134">
        <v>10.0</v>
      </c>
      <c r="V55" s="133"/>
      <c r="W55" s="133"/>
      <c r="X55" s="133"/>
      <c r="Y55" s="133"/>
      <c r="Z55" s="133"/>
      <c r="AA55" s="133"/>
      <c r="AB55" s="133"/>
      <c r="AC55" s="130"/>
      <c r="AD55" s="130"/>
      <c r="AE55" s="130"/>
      <c r="AF55" s="130"/>
      <c r="AG55" s="130"/>
      <c r="AH55" s="130"/>
      <c r="AI55" s="130"/>
      <c r="AJ55" s="130"/>
      <c r="AK55" s="130"/>
      <c r="AL55" s="130"/>
      <c r="AM55" s="130"/>
      <c r="AN55" s="130"/>
    </row>
    <row r="56">
      <c r="A56" s="287" t="s">
        <v>295</v>
      </c>
      <c r="B56" s="205"/>
      <c r="C56" s="133"/>
      <c r="D56" s="130"/>
      <c r="E56" s="133"/>
      <c r="F56" s="133"/>
      <c r="G56" s="133"/>
      <c r="H56" s="133"/>
      <c r="I56" s="130"/>
      <c r="J56" s="133"/>
      <c r="K56" s="133"/>
      <c r="L56" s="130"/>
      <c r="M56" s="133"/>
      <c r="N56" s="133"/>
      <c r="O56" s="200">
        <v>13.0</v>
      </c>
      <c r="P56" s="133">
        <v>18.0</v>
      </c>
      <c r="Q56" s="133">
        <v>13.0</v>
      </c>
      <c r="R56" s="133">
        <v>28.0</v>
      </c>
      <c r="S56" s="133">
        <v>26.0</v>
      </c>
      <c r="T56" s="133">
        <v>34.0</v>
      </c>
      <c r="U56" s="134">
        <v>37.0</v>
      </c>
      <c r="V56" s="133"/>
      <c r="W56" s="133"/>
      <c r="X56" s="133"/>
      <c r="Y56" s="133"/>
      <c r="Z56" s="133"/>
      <c r="AA56" s="133"/>
      <c r="AB56" s="133"/>
      <c r="AC56" s="130"/>
      <c r="AD56" s="130"/>
      <c r="AE56" s="130"/>
      <c r="AF56" s="130"/>
      <c r="AG56" s="130"/>
      <c r="AH56" s="130"/>
      <c r="AI56" s="130"/>
      <c r="AJ56" s="130"/>
      <c r="AK56" s="130"/>
      <c r="AL56" s="130"/>
      <c r="AM56" s="130"/>
      <c r="AN56" s="130"/>
    </row>
    <row r="57" hidden="1">
      <c r="A57" s="202" t="s">
        <v>221</v>
      </c>
      <c r="B57" s="290">
        <v>5.0</v>
      </c>
      <c r="C57" s="133">
        <v>9.0</v>
      </c>
      <c r="D57" s="130"/>
      <c r="E57" s="130"/>
      <c r="F57" s="130"/>
      <c r="G57" s="130"/>
      <c r="H57" s="130"/>
      <c r="I57" s="130"/>
      <c r="J57" s="130"/>
      <c r="K57" s="130"/>
      <c r="L57" s="130"/>
      <c r="M57" s="130"/>
      <c r="N57" s="130"/>
      <c r="O57" s="291"/>
      <c r="P57" s="130"/>
      <c r="Q57" s="133"/>
      <c r="R57" s="133"/>
      <c r="S57" s="133"/>
      <c r="T57" s="133"/>
      <c r="U57" s="134"/>
      <c r="V57" s="133"/>
      <c r="W57" s="133"/>
      <c r="X57" s="133"/>
      <c r="Y57" s="133"/>
      <c r="Z57" s="133"/>
      <c r="AA57" s="133"/>
      <c r="AB57" s="133"/>
      <c r="AC57" s="130"/>
      <c r="AD57" s="130"/>
      <c r="AE57" s="130"/>
      <c r="AF57" s="130"/>
      <c r="AG57" s="130"/>
      <c r="AH57" s="130"/>
      <c r="AI57" s="130"/>
      <c r="AJ57" s="130"/>
      <c r="AK57" s="130"/>
      <c r="AL57" s="130"/>
      <c r="AM57" s="130"/>
      <c r="AN57" s="130"/>
    </row>
    <row r="58" hidden="1">
      <c r="A58" s="202" t="s">
        <v>294</v>
      </c>
      <c r="B58" s="205"/>
      <c r="C58" s="133"/>
      <c r="D58" s="130"/>
      <c r="E58" s="133">
        <v>44.0</v>
      </c>
      <c r="F58" s="133">
        <v>42.0</v>
      </c>
      <c r="G58" s="133">
        <v>37.0</v>
      </c>
      <c r="H58" s="133">
        <v>39.0</v>
      </c>
      <c r="I58" s="133">
        <v>8.0</v>
      </c>
      <c r="J58" s="133">
        <v>16.0</v>
      </c>
      <c r="K58" s="133">
        <v>42.0</v>
      </c>
      <c r="L58" s="133">
        <v>50.0</v>
      </c>
      <c r="M58" s="133">
        <v>44.0</v>
      </c>
      <c r="N58" s="133">
        <v>48.0</v>
      </c>
      <c r="O58" s="200">
        <v>29.0</v>
      </c>
      <c r="P58" s="133">
        <v>39.0</v>
      </c>
      <c r="Q58" s="133">
        <v>26.0</v>
      </c>
      <c r="R58" s="133">
        <v>19.0</v>
      </c>
      <c r="S58" s="133">
        <v>16.0</v>
      </c>
      <c r="T58" s="133">
        <v>0.0</v>
      </c>
      <c r="U58" s="134"/>
      <c r="V58" s="133"/>
      <c r="W58" s="133"/>
      <c r="X58" s="133"/>
      <c r="Y58" s="133"/>
      <c r="Z58" s="133"/>
      <c r="AA58" s="133"/>
      <c r="AB58" s="133"/>
      <c r="AC58" s="130"/>
      <c r="AD58" s="130"/>
      <c r="AE58" s="130"/>
      <c r="AF58" s="130"/>
      <c r="AG58" s="130"/>
      <c r="AH58" s="130"/>
      <c r="AI58" s="130"/>
      <c r="AJ58" s="130"/>
      <c r="AK58" s="130"/>
      <c r="AL58" s="130"/>
      <c r="AM58" s="130"/>
      <c r="AN58" s="130"/>
    </row>
    <row r="59" hidden="1">
      <c r="A59" s="287" t="s">
        <v>296</v>
      </c>
      <c r="B59" s="205"/>
      <c r="C59" s="133"/>
      <c r="D59" s="130"/>
      <c r="E59" s="133"/>
      <c r="F59" s="133"/>
      <c r="G59" s="133"/>
      <c r="H59" s="133"/>
      <c r="I59" s="130"/>
      <c r="J59" s="133">
        <v>10.0</v>
      </c>
      <c r="K59" s="133">
        <v>8.0</v>
      </c>
      <c r="L59" s="133">
        <v>8.0</v>
      </c>
      <c r="M59" s="133">
        <v>5.0</v>
      </c>
      <c r="N59" s="133">
        <v>5.0</v>
      </c>
      <c r="O59" s="200">
        <v>0.0</v>
      </c>
      <c r="P59" s="130"/>
      <c r="Q59" s="133"/>
      <c r="R59" s="133"/>
      <c r="S59" s="133"/>
      <c r="T59" s="133"/>
      <c r="U59" s="134"/>
      <c r="V59" s="133"/>
      <c r="W59" s="133"/>
      <c r="X59" s="133"/>
      <c r="Y59" s="133"/>
      <c r="Z59" s="133"/>
      <c r="AA59" s="133"/>
      <c r="AB59" s="133"/>
      <c r="AC59" s="130"/>
      <c r="AD59" s="130"/>
      <c r="AE59" s="130"/>
      <c r="AF59" s="130"/>
      <c r="AG59" s="130"/>
      <c r="AH59" s="130"/>
      <c r="AI59" s="130"/>
      <c r="AJ59" s="130"/>
      <c r="AK59" s="130"/>
      <c r="AL59" s="130"/>
      <c r="AM59" s="130"/>
      <c r="AN59" s="130"/>
    </row>
    <row r="60">
      <c r="A60" s="287" t="s">
        <v>297</v>
      </c>
      <c r="B60" s="205"/>
      <c r="C60" s="133"/>
      <c r="D60" s="130"/>
      <c r="E60" s="133"/>
      <c r="F60" s="133"/>
      <c r="G60" s="133"/>
      <c r="H60" s="133"/>
      <c r="I60" s="130"/>
      <c r="J60" s="133">
        <v>8.0</v>
      </c>
      <c r="K60" s="133">
        <v>6.0</v>
      </c>
      <c r="L60" s="133">
        <v>18.0</v>
      </c>
      <c r="M60" s="133">
        <v>0.0</v>
      </c>
      <c r="N60" s="133">
        <v>8.0</v>
      </c>
      <c r="O60" s="200">
        <v>0.0</v>
      </c>
      <c r="P60" s="133">
        <v>0.0</v>
      </c>
      <c r="Q60" s="133">
        <v>4.0</v>
      </c>
      <c r="R60" s="133">
        <v>32.0</v>
      </c>
      <c r="S60" s="133"/>
      <c r="T60" s="133">
        <v>3.0</v>
      </c>
      <c r="U60" s="134">
        <v>0.0</v>
      </c>
      <c r="V60" s="133"/>
      <c r="W60" s="133"/>
      <c r="X60" s="133"/>
      <c r="Y60" s="133"/>
      <c r="Z60" s="133"/>
      <c r="AA60" s="133"/>
      <c r="AB60" s="133"/>
      <c r="AC60" s="130"/>
      <c r="AD60" s="130"/>
      <c r="AE60" s="130"/>
      <c r="AF60" s="130"/>
      <c r="AG60" s="130"/>
      <c r="AH60" s="130"/>
      <c r="AI60" s="130"/>
      <c r="AJ60" s="130"/>
      <c r="AK60" s="130"/>
      <c r="AL60" s="130"/>
      <c r="AM60" s="130"/>
      <c r="AN60" s="130"/>
    </row>
    <row r="61">
      <c r="A61" s="287" t="s">
        <v>298</v>
      </c>
      <c r="B61" s="205"/>
      <c r="C61" s="133"/>
      <c r="D61" s="130"/>
      <c r="E61" s="133"/>
      <c r="F61" s="133"/>
      <c r="G61" s="133"/>
      <c r="H61" s="133"/>
      <c r="I61" s="130"/>
      <c r="J61" s="133">
        <v>8.0</v>
      </c>
      <c r="K61" s="133">
        <v>0.0</v>
      </c>
      <c r="L61" s="130"/>
      <c r="M61" s="133">
        <v>6.0</v>
      </c>
      <c r="N61" s="133">
        <v>11.0</v>
      </c>
      <c r="O61" s="200">
        <v>1.0</v>
      </c>
      <c r="P61" s="133">
        <v>0.0</v>
      </c>
      <c r="Q61" s="133">
        <v>3.0</v>
      </c>
      <c r="R61" s="133">
        <v>0.0</v>
      </c>
      <c r="S61" s="133">
        <v>2.0</v>
      </c>
      <c r="T61" s="288">
        <v>3.0</v>
      </c>
      <c r="U61" s="133">
        <v>0.0</v>
      </c>
      <c r="V61" s="133"/>
      <c r="W61" s="133"/>
      <c r="X61" s="133"/>
      <c r="Y61" s="133"/>
      <c r="Z61" s="133"/>
      <c r="AA61" s="133"/>
      <c r="AB61" s="133"/>
      <c r="AC61" s="130"/>
      <c r="AD61" s="130"/>
      <c r="AE61" s="130"/>
      <c r="AF61" s="130"/>
      <c r="AG61" s="130"/>
      <c r="AH61" s="130"/>
      <c r="AI61" s="130"/>
      <c r="AJ61" s="130"/>
      <c r="AK61" s="130"/>
      <c r="AL61" s="130"/>
      <c r="AM61" s="130"/>
      <c r="AN61" s="130"/>
    </row>
    <row r="62">
      <c r="A62" s="287" t="s">
        <v>299</v>
      </c>
      <c r="B62" s="205"/>
      <c r="C62" s="133"/>
      <c r="D62" s="130"/>
      <c r="E62" s="133"/>
      <c r="F62" s="133"/>
      <c r="G62" s="133"/>
      <c r="H62" s="133"/>
      <c r="I62" s="130"/>
      <c r="J62" s="133"/>
      <c r="K62" s="133"/>
      <c r="L62" s="130"/>
      <c r="M62" s="133"/>
      <c r="N62" s="133"/>
      <c r="O62" s="200"/>
      <c r="P62" s="133">
        <v>3.0</v>
      </c>
      <c r="Q62" s="133">
        <v>2.0</v>
      </c>
      <c r="R62" s="133"/>
      <c r="S62" s="133"/>
      <c r="T62" s="288">
        <v>3.0</v>
      </c>
      <c r="U62" s="133">
        <v>0.0</v>
      </c>
      <c r="V62" s="133"/>
      <c r="W62" s="133"/>
      <c r="X62" s="133"/>
      <c r="Y62" s="133"/>
      <c r="Z62" s="133"/>
      <c r="AA62" s="133"/>
      <c r="AB62" s="133"/>
      <c r="AC62" s="130"/>
      <c r="AD62" s="130"/>
      <c r="AE62" s="130"/>
      <c r="AF62" s="130"/>
      <c r="AG62" s="130"/>
      <c r="AH62" s="130"/>
      <c r="AI62" s="130"/>
      <c r="AJ62" s="130"/>
      <c r="AK62" s="130"/>
      <c r="AL62" s="130"/>
      <c r="AM62" s="130"/>
      <c r="AN62" s="130"/>
    </row>
    <row r="63">
      <c r="A63" s="287" t="s">
        <v>300</v>
      </c>
      <c r="B63" s="205"/>
      <c r="C63" s="205"/>
      <c r="D63" s="130"/>
      <c r="E63" s="133"/>
      <c r="F63" s="133"/>
      <c r="G63" s="133"/>
      <c r="H63" s="133"/>
      <c r="I63" s="133"/>
      <c r="J63" s="133"/>
      <c r="K63" s="133"/>
      <c r="L63" s="133"/>
      <c r="M63" s="133"/>
      <c r="N63" s="133"/>
      <c r="O63" s="133"/>
      <c r="P63" s="133"/>
      <c r="Q63" s="133"/>
      <c r="R63" s="133"/>
      <c r="S63" s="133"/>
      <c r="T63" s="133">
        <v>0.0</v>
      </c>
      <c r="U63" s="134">
        <v>6.0</v>
      </c>
      <c r="V63" s="133"/>
      <c r="W63" s="133"/>
      <c r="X63" s="133"/>
      <c r="Y63" s="133"/>
      <c r="Z63" s="133"/>
      <c r="AA63" s="133"/>
      <c r="AB63" s="133"/>
      <c r="AC63" s="130"/>
      <c r="AD63" s="130"/>
      <c r="AE63" s="130"/>
      <c r="AF63" s="130"/>
      <c r="AG63" s="130"/>
      <c r="AH63" s="130"/>
      <c r="AI63" s="130"/>
      <c r="AJ63" s="130"/>
      <c r="AK63" s="130"/>
      <c r="AL63" s="130"/>
      <c r="AM63" s="130"/>
      <c r="AN63" s="130"/>
    </row>
    <row r="64">
      <c r="A64" s="262" t="s">
        <v>301</v>
      </c>
      <c r="B64" s="283">
        <v>29.0</v>
      </c>
      <c r="C64" s="284">
        <f t="shared" ref="C64:D64" si="13">SUM(C65:C72)</f>
        <v>32</v>
      </c>
      <c r="D64" s="284">
        <f t="shared" si="13"/>
        <v>29</v>
      </c>
      <c r="E64" s="284">
        <v>45.0</v>
      </c>
      <c r="F64" s="284">
        <v>34.0</v>
      </c>
      <c r="G64" s="284">
        <v>102.0</v>
      </c>
      <c r="H64" s="284">
        <v>68.0</v>
      </c>
      <c r="I64" s="284">
        <v>63.0</v>
      </c>
      <c r="J64" s="284">
        <v>55.0</v>
      </c>
      <c r="K64" s="284">
        <v>76.0</v>
      </c>
      <c r="L64" s="284">
        <v>56.0</v>
      </c>
      <c r="M64" s="284">
        <v>47.0</v>
      </c>
      <c r="N64" s="284">
        <v>47.0</v>
      </c>
      <c r="O64" s="289">
        <v>42.0</v>
      </c>
      <c r="P64" s="284">
        <v>55.0</v>
      </c>
      <c r="Q64" s="284">
        <v>34.0</v>
      </c>
      <c r="R64" s="284">
        <v>52.0</v>
      </c>
      <c r="S64" s="284">
        <v>55.0</v>
      </c>
      <c r="T64" s="284">
        <v>54.0</v>
      </c>
      <c r="U64" s="285">
        <v>81.0</v>
      </c>
      <c r="V64" s="128"/>
      <c r="W64" s="128"/>
      <c r="X64" s="128"/>
      <c r="Y64" s="128"/>
      <c r="Z64" s="128"/>
      <c r="AA64" s="128"/>
      <c r="AB64" s="128"/>
      <c r="AC64" s="128"/>
      <c r="AD64" s="130"/>
      <c r="AE64" s="130"/>
      <c r="AF64" s="130"/>
      <c r="AG64" s="130"/>
      <c r="AH64" s="130"/>
      <c r="AI64" s="130"/>
      <c r="AJ64" s="130"/>
      <c r="AK64" s="130"/>
      <c r="AL64" s="130"/>
      <c r="AM64" s="130"/>
      <c r="AN64" s="130"/>
    </row>
    <row r="65" hidden="1">
      <c r="A65" s="202" t="s">
        <v>288</v>
      </c>
      <c r="B65" s="205"/>
      <c r="C65" s="133"/>
      <c r="D65" s="133">
        <v>5.0</v>
      </c>
      <c r="E65" s="133">
        <v>0.0</v>
      </c>
      <c r="F65" s="133">
        <v>13.0</v>
      </c>
      <c r="G65" s="133">
        <v>21.0</v>
      </c>
      <c r="H65" s="133">
        <v>0.0</v>
      </c>
      <c r="I65" s="133"/>
      <c r="J65" s="133"/>
      <c r="K65" s="133"/>
      <c r="L65" s="133"/>
      <c r="M65" s="133"/>
      <c r="N65" s="133"/>
      <c r="O65" s="200"/>
      <c r="P65" s="133"/>
      <c r="Q65" s="133"/>
      <c r="R65" s="133"/>
      <c r="S65" s="133"/>
      <c r="T65" s="133"/>
      <c r="U65" s="134"/>
      <c r="V65" s="133"/>
      <c r="W65" s="133"/>
      <c r="X65" s="133"/>
      <c r="Y65" s="133"/>
      <c r="Z65" s="133"/>
      <c r="AA65" s="133"/>
      <c r="AB65" s="130"/>
      <c r="AC65" s="130"/>
      <c r="AD65" s="130"/>
      <c r="AE65" s="130"/>
      <c r="AF65" s="130"/>
      <c r="AG65" s="130"/>
      <c r="AH65" s="130"/>
      <c r="AI65" s="130"/>
      <c r="AJ65" s="130"/>
      <c r="AK65" s="130"/>
      <c r="AL65" s="130"/>
      <c r="AM65" s="130"/>
      <c r="AN65" s="130"/>
    </row>
    <row r="66">
      <c r="A66" s="202" t="s">
        <v>289</v>
      </c>
      <c r="B66" s="286">
        <v>21.0</v>
      </c>
      <c r="C66" s="133">
        <v>16.0</v>
      </c>
      <c r="D66" s="133">
        <v>11.0</v>
      </c>
      <c r="E66" s="133">
        <v>9.0</v>
      </c>
      <c r="F66" s="133">
        <v>0.0</v>
      </c>
      <c r="G66" s="133">
        <v>34.0</v>
      </c>
      <c r="H66" s="133">
        <v>8.0</v>
      </c>
      <c r="I66" s="133">
        <v>21.0</v>
      </c>
      <c r="J66" s="133">
        <v>39.0</v>
      </c>
      <c r="K66" s="133">
        <v>34.0</v>
      </c>
      <c r="L66" s="133">
        <v>13.0</v>
      </c>
      <c r="M66" s="133">
        <v>21.0</v>
      </c>
      <c r="N66" s="133">
        <v>0.0</v>
      </c>
      <c r="O66" s="292">
        <v>21.0</v>
      </c>
      <c r="P66" s="133">
        <v>21.0</v>
      </c>
      <c r="Q66" s="133">
        <v>0.0</v>
      </c>
      <c r="R66" s="133">
        <v>13.0</v>
      </c>
      <c r="S66" s="133">
        <v>8.0</v>
      </c>
      <c r="T66" s="133">
        <v>8.0</v>
      </c>
      <c r="U66" s="134">
        <v>34.0</v>
      </c>
      <c r="V66" s="130"/>
      <c r="W66" s="130"/>
      <c r="X66" s="130"/>
      <c r="Y66" s="130"/>
      <c r="Z66" s="130"/>
      <c r="AA66" s="130"/>
      <c r="AB66" s="130"/>
      <c r="AC66" s="130"/>
      <c r="AD66" s="130"/>
      <c r="AE66" s="130"/>
      <c r="AF66" s="130"/>
      <c r="AG66" s="130"/>
      <c r="AH66" s="130"/>
      <c r="AI66" s="130"/>
      <c r="AJ66" s="130"/>
      <c r="AK66" s="130"/>
      <c r="AL66" s="130"/>
      <c r="AM66" s="130"/>
      <c r="AN66" s="130"/>
    </row>
    <row r="67" hidden="1">
      <c r="A67" s="202" t="s">
        <v>290</v>
      </c>
      <c r="B67" s="286">
        <v>8.0</v>
      </c>
      <c r="C67" s="133"/>
      <c r="D67" s="133"/>
      <c r="E67" s="130"/>
      <c r="F67" s="133"/>
      <c r="G67" s="133"/>
      <c r="H67" s="133"/>
      <c r="I67" s="133"/>
      <c r="J67" s="133"/>
      <c r="K67" s="133"/>
      <c r="L67" s="133"/>
      <c r="M67" s="133"/>
      <c r="N67" s="133"/>
      <c r="O67" s="200"/>
      <c r="P67" s="130"/>
      <c r="Q67" s="130"/>
      <c r="R67" s="130"/>
      <c r="S67" s="130"/>
      <c r="T67" s="130"/>
      <c r="U67" s="135"/>
      <c r="V67" s="130"/>
      <c r="W67" s="130"/>
      <c r="X67" s="130"/>
      <c r="Y67" s="130"/>
      <c r="Z67" s="130"/>
      <c r="AA67" s="130"/>
      <c r="AB67" s="130"/>
      <c r="AC67" s="130"/>
      <c r="AD67" s="130"/>
      <c r="AE67" s="130"/>
      <c r="AF67" s="130"/>
      <c r="AG67" s="130"/>
      <c r="AH67" s="130"/>
      <c r="AI67" s="130"/>
      <c r="AJ67" s="130"/>
      <c r="AK67" s="130"/>
      <c r="AL67" s="130"/>
      <c r="AM67" s="130"/>
      <c r="AN67" s="130"/>
    </row>
    <row r="68" hidden="1">
      <c r="A68" s="202" t="s">
        <v>291</v>
      </c>
      <c r="B68" s="205"/>
      <c r="C68" s="133"/>
      <c r="D68" s="133">
        <v>13.0</v>
      </c>
      <c r="E68" s="133">
        <v>5.0</v>
      </c>
      <c r="F68" s="133">
        <v>0.0</v>
      </c>
      <c r="G68" s="133">
        <v>0.0</v>
      </c>
      <c r="H68" s="133">
        <v>13.0</v>
      </c>
      <c r="I68" s="133"/>
      <c r="J68" s="133"/>
      <c r="K68" s="133"/>
      <c r="L68" s="133"/>
      <c r="M68" s="133"/>
      <c r="N68" s="133"/>
      <c r="O68" s="200"/>
      <c r="P68" s="133"/>
      <c r="Q68" s="133"/>
      <c r="R68" s="133"/>
      <c r="S68" s="133"/>
      <c r="T68" s="133"/>
      <c r="U68" s="134"/>
      <c r="V68" s="133"/>
      <c r="W68" s="133"/>
      <c r="X68" s="133"/>
      <c r="Y68" s="133"/>
      <c r="Z68" s="133"/>
      <c r="AA68" s="133"/>
      <c r="AB68" s="130"/>
      <c r="AC68" s="130"/>
      <c r="AD68" s="130"/>
      <c r="AE68" s="130"/>
      <c r="AF68" s="130"/>
      <c r="AG68" s="130"/>
      <c r="AH68" s="130"/>
      <c r="AI68" s="130"/>
      <c r="AJ68" s="130"/>
      <c r="AK68" s="130"/>
      <c r="AL68" s="130"/>
      <c r="AM68" s="130"/>
      <c r="AN68" s="130"/>
    </row>
    <row r="69" hidden="1">
      <c r="A69" s="202" t="s">
        <v>292</v>
      </c>
      <c r="B69" s="290">
        <v>0.0</v>
      </c>
      <c r="C69" s="133">
        <v>16.0</v>
      </c>
      <c r="D69" s="130"/>
      <c r="E69" s="130"/>
      <c r="F69" s="130"/>
      <c r="G69" s="130"/>
      <c r="H69" s="130"/>
      <c r="I69" s="130"/>
      <c r="J69" s="130"/>
      <c r="K69" s="130"/>
      <c r="L69" s="130"/>
      <c r="M69" s="130"/>
      <c r="N69" s="130"/>
      <c r="O69" s="291"/>
      <c r="P69" s="130"/>
      <c r="Q69" s="133"/>
      <c r="R69" s="133"/>
      <c r="S69" s="133"/>
      <c r="T69" s="133"/>
      <c r="U69" s="134"/>
      <c r="V69" s="133"/>
      <c r="W69" s="133"/>
      <c r="X69" s="133"/>
      <c r="Y69" s="133"/>
      <c r="Z69" s="133"/>
      <c r="AA69" s="133"/>
      <c r="AB69" s="133"/>
      <c r="AC69" s="130"/>
      <c r="AD69" s="130"/>
      <c r="AE69" s="130"/>
      <c r="AF69" s="130"/>
      <c r="AG69" s="130"/>
      <c r="AH69" s="130"/>
      <c r="AI69" s="130"/>
      <c r="AJ69" s="130"/>
      <c r="AK69" s="130"/>
      <c r="AL69" s="130"/>
      <c r="AM69" s="130"/>
      <c r="AN69" s="130"/>
    </row>
    <row r="70">
      <c r="A70" s="287" t="s">
        <v>293</v>
      </c>
      <c r="B70" s="290"/>
      <c r="C70" s="133"/>
      <c r="D70" s="130"/>
      <c r="E70" s="133">
        <v>20.0</v>
      </c>
      <c r="F70" s="133">
        <v>0.0</v>
      </c>
      <c r="G70" s="133">
        <v>13.0</v>
      </c>
      <c r="H70" s="133">
        <v>8.0</v>
      </c>
      <c r="I70" s="133">
        <v>8.0</v>
      </c>
      <c r="J70" s="133">
        <v>0.0</v>
      </c>
      <c r="K70" s="133">
        <v>21.0</v>
      </c>
      <c r="L70" s="133">
        <v>8.0</v>
      </c>
      <c r="M70" s="133">
        <v>13.0</v>
      </c>
      <c r="N70" s="133">
        <v>26.0</v>
      </c>
      <c r="O70" s="200">
        <v>13.0</v>
      </c>
      <c r="P70" s="133">
        <v>21.0</v>
      </c>
      <c r="Q70" s="133">
        <v>21.0</v>
      </c>
      <c r="R70" s="133">
        <v>13.0</v>
      </c>
      <c r="S70" s="133">
        <v>31.0</v>
      </c>
      <c r="T70" s="133">
        <v>3.0</v>
      </c>
      <c r="U70" s="134">
        <v>34.0</v>
      </c>
      <c r="V70" s="133"/>
      <c r="W70" s="133"/>
      <c r="X70" s="133"/>
      <c r="Y70" s="133"/>
      <c r="Z70" s="133"/>
      <c r="AA70" s="133"/>
      <c r="AB70" s="133"/>
      <c r="AC70" s="130"/>
      <c r="AD70" s="130"/>
      <c r="AE70" s="130"/>
      <c r="AF70" s="130"/>
      <c r="AG70" s="130"/>
      <c r="AH70" s="130"/>
      <c r="AI70" s="130"/>
      <c r="AJ70" s="130"/>
      <c r="AK70" s="130"/>
      <c r="AL70" s="130"/>
      <c r="AM70" s="130"/>
      <c r="AN70" s="130"/>
    </row>
    <row r="71" hidden="1">
      <c r="A71" s="202" t="s">
        <v>221</v>
      </c>
      <c r="B71" s="290">
        <v>0.0</v>
      </c>
      <c r="C71" s="133"/>
      <c r="D71" s="130"/>
      <c r="E71" s="130"/>
      <c r="F71" s="130"/>
      <c r="G71" s="130"/>
      <c r="H71" s="130"/>
      <c r="I71" s="130"/>
      <c r="J71" s="130"/>
      <c r="K71" s="130"/>
      <c r="L71" s="130"/>
      <c r="M71" s="130"/>
      <c r="N71" s="130"/>
      <c r="O71" s="291"/>
      <c r="P71" s="130"/>
      <c r="Q71" s="133"/>
      <c r="R71" s="133"/>
      <c r="S71" s="133"/>
      <c r="T71" s="133"/>
      <c r="U71" s="134"/>
      <c r="V71" s="133"/>
      <c r="W71" s="133"/>
      <c r="X71" s="133"/>
      <c r="Y71" s="133"/>
      <c r="Z71" s="133"/>
      <c r="AA71" s="133"/>
      <c r="AB71" s="133"/>
      <c r="AC71" s="130"/>
      <c r="AD71" s="130"/>
      <c r="AE71" s="130"/>
      <c r="AF71" s="130"/>
      <c r="AG71" s="130"/>
      <c r="AH71" s="130"/>
      <c r="AI71" s="130"/>
      <c r="AJ71" s="130"/>
      <c r="AK71" s="130"/>
      <c r="AL71" s="130"/>
      <c r="AM71" s="130"/>
      <c r="AN71" s="130"/>
    </row>
    <row r="72" hidden="1">
      <c r="A72" s="202" t="s">
        <v>294</v>
      </c>
      <c r="B72" s="205"/>
      <c r="C72" s="133"/>
      <c r="D72" s="130"/>
      <c r="E72" s="133">
        <v>11.0</v>
      </c>
      <c r="F72" s="133">
        <v>21.0</v>
      </c>
      <c r="G72" s="133">
        <v>34.0</v>
      </c>
      <c r="H72" s="133">
        <v>39.0</v>
      </c>
      <c r="I72" s="133">
        <v>34.0</v>
      </c>
      <c r="J72" s="133">
        <v>16.0</v>
      </c>
      <c r="K72" s="133">
        <v>21.0</v>
      </c>
      <c r="L72" s="133">
        <v>27.0</v>
      </c>
      <c r="M72" s="133">
        <v>13.0</v>
      </c>
      <c r="N72" s="133">
        <v>21.0</v>
      </c>
      <c r="O72" s="200">
        <v>8.0</v>
      </c>
      <c r="P72" s="133">
        <v>13.0</v>
      </c>
      <c r="Q72" s="133">
        <v>13.0</v>
      </c>
      <c r="R72" s="133">
        <v>13.0</v>
      </c>
      <c r="S72" s="133">
        <v>0.0</v>
      </c>
      <c r="T72" s="133"/>
      <c r="U72" s="134"/>
      <c r="V72" s="133"/>
      <c r="W72" s="133"/>
      <c r="X72" s="133"/>
      <c r="Y72" s="133"/>
      <c r="Z72" s="133"/>
      <c r="AA72" s="133"/>
      <c r="AB72" s="133"/>
      <c r="AC72" s="130"/>
      <c r="AD72" s="130"/>
      <c r="AE72" s="130"/>
      <c r="AF72" s="130"/>
      <c r="AG72" s="130"/>
      <c r="AH72" s="130"/>
      <c r="AI72" s="130"/>
      <c r="AJ72" s="130"/>
      <c r="AK72" s="130"/>
      <c r="AL72" s="130"/>
      <c r="AM72" s="130"/>
      <c r="AN72" s="130"/>
    </row>
    <row r="73" hidden="1">
      <c r="A73" s="287" t="s">
        <v>297</v>
      </c>
      <c r="B73" s="205"/>
      <c r="C73" s="133"/>
      <c r="D73" s="130"/>
      <c r="E73" s="133"/>
      <c r="F73" s="133"/>
      <c r="G73" s="133"/>
      <c r="H73" s="133"/>
      <c r="I73" s="133"/>
      <c r="J73" s="133"/>
      <c r="K73" s="133"/>
      <c r="L73" s="133">
        <v>8.0</v>
      </c>
      <c r="M73" s="130"/>
      <c r="N73" s="133">
        <v>0.0</v>
      </c>
      <c r="O73" s="200">
        <v>0.0</v>
      </c>
      <c r="P73" s="133">
        <v>0.0</v>
      </c>
      <c r="Q73" s="133"/>
      <c r="R73" s="133"/>
      <c r="S73" s="133"/>
      <c r="T73" s="133"/>
      <c r="U73" s="134"/>
      <c r="V73" s="133"/>
      <c r="W73" s="133"/>
      <c r="X73" s="133"/>
      <c r="Y73" s="133"/>
      <c r="Z73" s="133"/>
      <c r="AA73" s="133"/>
      <c r="AB73" s="133"/>
      <c r="AC73" s="130"/>
      <c r="AD73" s="130"/>
      <c r="AE73" s="130"/>
      <c r="AF73" s="130"/>
      <c r="AG73" s="130"/>
      <c r="AH73" s="130"/>
      <c r="AI73" s="130"/>
      <c r="AJ73" s="130"/>
      <c r="AK73" s="130"/>
      <c r="AL73" s="130"/>
      <c r="AM73" s="130"/>
      <c r="AN73" s="130"/>
    </row>
    <row r="74">
      <c r="A74" s="287" t="s">
        <v>295</v>
      </c>
      <c r="B74" s="205"/>
      <c r="C74" s="133"/>
      <c r="D74" s="130"/>
      <c r="E74" s="133"/>
      <c r="F74" s="133"/>
      <c r="G74" s="133"/>
      <c r="H74" s="133"/>
      <c r="I74" s="133"/>
      <c r="J74" s="133"/>
      <c r="K74" s="133"/>
      <c r="L74" s="133"/>
      <c r="M74" s="130"/>
      <c r="N74" s="133"/>
      <c r="O74" s="200">
        <v>0.0</v>
      </c>
      <c r="P74" s="133">
        <v>0.0</v>
      </c>
      <c r="Q74" s="133">
        <v>8.0</v>
      </c>
      <c r="R74" s="133">
        <v>13.0</v>
      </c>
      <c r="S74" s="133">
        <v>16.0</v>
      </c>
      <c r="T74" s="133">
        <v>34.0</v>
      </c>
      <c r="U74" s="134">
        <v>13.0</v>
      </c>
      <c r="V74" s="133"/>
      <c r="W74" s="133"/>
      <c r="X74" s="133"/>
      <c r="Y74" s="133"/>
      <c r="Z74" s="133"/>
      <c r="AA74" s="133"/>
      <c r="AB74" s="133"/>
      <c r="AC74" s="130"/>
      <c r="AD74" s="130"/>
      <c r="AE74" s="130"/>
      <c r="AF74" s="130"/>
      <c r="AG74" s="130"/>
      <c r="AH74" s="130"/>
      <c r="AI74" s="130"/>
      <c r="AJ74" s="130"/>
      <c r="AK74" s="130"/>
      <c r="AL74" s="130"/>
      <c r="AM74" s="130"/>
      <c r="AN74" s="130"/>
    </row>
    <row r="75">
      <c r="A75" s="287" t="s">
        <v>300</v>
      </c>
      <c r="B75" s="205"/>
      <c r="C75" s="205"/>
      <c r="D75" s="130"/>
      <c r="E75" s="133"/>
      <c r="F75" s="133"/>
      <c r="G75" s="133"/>
      <c r="H75" s="133"/>
      <c r="I75" s="133"/>
      <c r="J75" s="133"/>
      <c r="K75" s="133"/>
      <c r="L75" s="133"/>
      <c r="M75" s="133"/>
      <c r="N75" s="133"/>
      <c r="O75" s="133"/>
      <c r="P75" s="133"/>
      <c r="Q75" s="133"/>
      <c r="R75" s="133"/>
      <c r="S75" s="133"/>
      <c r="T75" s="133"/>
      <c r="U75" s="134">
        <v>0.0</v>
      </c>
      <c r="V75" s="133"/>
      <c r="W75" s="133"/>
      <c r="X75" s="133"/>
      <c r="Y75" s="133"/>
      <c r="Z75" s="133"/>
      <c r="AA75" s="133"/>
      <c r="AB75" s="133"/>
      <c r="AC75" s="130"/>
      <c r="AD75" s="130"/>
      <c r="AE75" s="130"/>
      <c r="AF75" s="130"/>
      <c r="AG75" s="130"/>
      <c r="AH75" s="130"/>
      <c r="AI75" s="130"/>
      <c r="AJ75" s="130"/>
      <c r="AK75" s="130"/>
      <c r="AL75" s="130"/>
      <c r="AM75" s="130"/>
      <c r="AN75" s="130"/>
    </row>
    <row r="76">
      <c r="A76" s="287" t="s">
        <v>298</v>
      </c>
      <c r="B76" s="205"/>
      <c r="C76" s="205"/>
      <c r="D76" s="130"/>
      <c r="E76" s="133"/>
      <c r="F76" s="133"/>
      <c r="G76" s="133"/>
      <c r="H76" s="133"/>
      <c r="I76" s="133"/>
      <c r="J76" s="133"/>
      <c r="K76" s="133"/>
      <c r="L76" s="133"/>
      <c r="M76" s="133"/>
      <c r="N76" s="133"/>
      <c r="O76" s="133"/>
      <c r="P76" s="133"/>
      <c r="Q76" s="133"/>
      <c r="R76" s="133"/>
      <c r="S76" s="133"/>
      <c r="T76" s="133">
        <v>3.0</v>
      </c>
      <c r="U76" s="134">
        <v>0.0</v>
      </c>
      <c r="V76" s="133"/>
      <c r="W76" s="133"/>
      <c r="X76" s="133"/>
      <c r="Y76" s="133"/>
      <c r="Z76" s="133"/>
      <c r="AA76" s="133"/>
      <c r="AB76" s="133"/>
      <c r="AC76" s="130"/>
      <c r="AD76" s="130"/>
      <c r="AE76" s="130"/>
      <c r="AF76" s="130"/>
      <c r="AG76" s="130"/>
      <c r="AH76" s="130"/>
      <c r="AI76" s="130"/>
      <c r="AJ76" s="130"/>
      <c r="AK76" s="130"/>
      <c r="AL76" s="130"/>
      <c r="AM76" s="130"/>
      <c r="AN76" s="130"/>
    </row>
    <row r="77">
      <c r="A77" s="287" t="s">
        <v>299</v>
      </c>
      <c r="B77" s="205"/>
      <c r="C77" s="205"/>
      <c r="D77" s="130"/>
      <c r="E77" s="133"/>
      <c r="F77" s="133"/>
      <c r="G77" s="133"/>
      <c r="H77" s="133"/>
      <c r="I77" s="133"/>
      <c r="J77" s="133"/>
      <c r="K77" s="133"/>
      <c r="L77" s="133"/>
      <c r="M77" s="133"/>
      <c r="N77" s="133"/>
      <c r="O77" s="133"/>
      <c r="P77" s="133"/>
      <c r="Q77" s="133"/>
      <c r="R77" s="133"/>
      <c r="S77" s="133"/>
      <c r="T77" s="133">
        <v>3.0</v>
      </c>
      <c r="U77" s="134">
        <v>0.0</v>
      </c>
      <c r="V77" s="133"/>
      <c r="W77" s="133"/>
      <c r="X77" s="133"/>
      <c r="Y77" s="133"/>
      <c r="Z77" s="133"/>
      <c r="AA77" s="133"/>
      <c r="AB77" s="133"/>
      <c r="AC77" s="130"/>
      <c r="AD77" s="130"/>
      <c r="AE77" s="130"/>
      <c r="AF77" s="130"/>
      <c r="AG77" s="130"/>
      <c r="AH77" s="130"/>
      <c r="AI77" s="130"/>
      <c r="AJ77" s="130"/>
      <c r="AK77" s="130"/>
      <c r="AL77" s="130"/>
      <c r="AM77" s="130"/>
      <c r="AN77" s="130"/>
    </row>
    <row r="78">
      <c r="A78" s="287" t="s">
        <v>297</v>
      </c>
      <c r="B78" s="205"/>
      <c r="C78" s="205"/>
      <c r="D78" s="130"/>
      <c r="E78" s="133"/>
      <c r="F78" s="133"/>
      <c r="G78" s="133"/>
      <c r="H78" s="133"/>
      <c r="I78" s="133"/>
      <c r="J78" s="133"/>
      <c r="K78" s="133"/>
      <c r="L78" s="133"/>
      <c r="M78" s="133"/>
      <c r="N78" s="133"/>
      <c r="O78" s="133"/>
      <c r="P78" s="133"/>
      <c r="Q78" s="133"/>
      <c r="R78" s="133"/>
      <c r="S78" s="133"/>
      <c r="T78" s="133">
        <v>3.0</v>
      </c>
      <c r="U78" s="134">
        <v>0.0</v>
      </c>
      <c r="V78" s="133"/>
      <c r="W78" s="133"/>
      <c r="X78" s="133"/>
      <c r="Y78" s="133"/>
      <c r="Z78" s="133"/>
      <c r="AA78" s="133"/>
      <c r="AB78" s="133"/>
      <c r="AC78" s="130"/>
      <c r="AD78" s="130"/>
      <c r="AE78" s="130"/>
      <c r="AF78" s="130"/>
      <c r="AG78" s="130"/>
      <c r="AH78" s="130"/>
      <c r="AI78" s="130"/>
      <c r="AJ78" s="130"/>
      <c r="AK78" s="130"/>
      <c r="AL78" s="130"/>
      <c r="AM78" s="130"/>
      <c r="AN78" s="130"/>
    </row>
    <row r="79">
      <c r="A79" s="262" t="s">
        <v>302</v>
      </c>
      <c r="B79" s="283">
        <v>0.0</v>
      </c>
      <c r="C79" s="128">
        <f t="shared" ref="C79:D79" si="14">SUM(C80:C87)</f>
        <v>19</v>
      </c>
      <c r="D79" s="128">
        <f t="shared" si="14"/>
        <v>29</v>
      </c>
      <c r="E79" s="128"/>
      <c r="F79" s="284">
        <v>34.0</v>
      </c>
      <c r="G79" s="284">
        <v>102.0</v>
      </c>
      <c r="H79" s="284">
        <v>68.0</v>
      </c>
      <c r="I79" s="284">
        <v>34.0</v>
      </c>
      <c r="J79" s="284">
        <v>34.0</v>
      </c>
      <c r="K79" s="284">
        <v>76.0</v>
      </c>
      <c r="L79" s="284">
        <v>56.0</v>
      </c>
      <c r="M79" s="284">
        <v>34.0</v>
      </c>
      <c r="N79" s="284">
        <v>47.0</v>
      </c>
      <c r="O79" s="289">
        <v>42.0</v>
      </c>
      <c r="P79" s="284">
        <v>55.0</v>
      </c>
      <c r="Q79" s="284">
        <v>42.0</v>
      </c>
      <c r="R79" s="284">
        <v>26.0</v>
      </c>
      <c r="S79" s="284">
        <v>8.0</v>
      </c>
      <c r="T79" s="284">
        <v>27.0</v>
      </c>
      <c r="U79" s="285">
        <v>0.0</v>
      </c>
      <c r="V79" s="128"/>
      <c r="W79" s="128"/>
      <c r="X79" s="128"/>
      <c r="Y79" s="128"/>
      <c r="Z79" s="128"/>
      <c r="AA79" s="128"/>
      <c r="AB79" s="128"/>
      <c r="AC79" s="128"/>
      <c r="AD79" s="130"/>
      <c r="AE79" s="130"/>
      <c r="AF79" s="130"/>
      <c r="AG79" s="130"/>
      <c r="AH79" s="130"/>
      <c r="AI79" s="130"/>
      <c r="AJ79" s="130"/>
      <c r="AK79" s="130"/>
      <c r="AL79" s="130"/>
      <c r="AM79" s="130"/>
      <c r="AN79" s="130"/>
    </row>
    <row r="80" hidden="1">
      <c r="A80" s="202" t="s">
        <v>288</v>
      </c>
      <c r="B80" s="132"/>
      <c r="C80" s="133"/>
      <c r="D80" s="133">
        <v>5.0</v>
      </c>
      <c r="E80" s="133">
        <v>0.0</v>
      </c>
      <c r="F80" s="133">
        <v>13.0</v>
      </c>
      <c r="G80" s="133">
        <v>21.0</v>
      </c>
      <c r="H80" s="133">
        <v>0.0</v>
      </c>
      <c r="I80" s="133"/>
      <c r="J80" s="133"/>
      <c r="K80" s="133"/>
      <c r="L80" s="133"/>
      <c r="M80" s="133"/>
      <c r="N80" s="133"/>
      <c r="O80" s="200"/>
      <c r="P80" s="133"/>
      <c r="Q80" s="133"/>
      <c r="R80" s="133"/>
      <c r="S80" s="133"/>
      <c r="T80" s="133"/>
      <c r="U80" s="134"/>
      <c r="V80" s="133"/>
      <c r="W80" s="133"/>
      <c r="X80" s="133"/>
      <c r="Y80" s="133"/>
      <c r="Z80" s="133"/>
      <c r="AA80" s="133"/>
      <c r="AB80" s="130"/>
      <c r="AC80" s="130"/>
      <c r="AD80" s="130"/>
      <c r="AE80" s="130"/>
      <c r="AF80" s="130"/>
      <c r="AG80" s="130"/>
      <c r="AH80" s="130"/>
      <c r="AI80" s="130"/>
      <c r="AJ80" s="130"/>
      <c r="AK80" s="130"/>
      <c r="AL80" s="130"/>
      <c r="AM80" s="130"/>
      <c r="AN80" s="130"/>
    </row>
    <row r="81">
      <c r="A81" s="202" t="s">
        <v>289</v>
      </c>
      <c r="B81" s="132"/>
      <c r="C81" s="133">
        <v>16.0</v>
      </c>
      <c r="D81" s="133">
        <v>11.0</v>
      </c>
      <c r="E81" s="133">
        <v>9.0</v>
      </c>
      <c r="F81" s="133">
        <v>0.0</v>
      </c>
      <c r="G81" s="133">
        <v>34.0</v>
      </c>
      <c r="H81" s="133">
        <v>8.0</v>
      </c>
      <c r="I81" s="199">
        <v>21.0</v>
      </c>
      <c r="J81" s="133">
        <v>0.0</v>
      </c>
      <c r="K81" s="133">
        <v>34.0</v>
      </c>
      <c r="L81" s="133">
        <v>13.0</v>
      </c>
      <c r="M81" s="133">
        <v>21.0</v>
      </c>
      <c r="N81" s="133">
        <v>0.0</v>
      </c>
      <c r="O81" s="200">
        <v>21.0</v>
      </c>
      <c r="P81" s="133">
        <v>21.0</v>
      </c>
      <c r="Q81" s="133">
        <v>0.0</v>
      </c>
      <c r="R81" s="133">
        <v>13.0</v>
      </c>
      <c r="S81" s="133">
        <v>8.0</v>
      </c>
      <c r="T81" s="199">
        <v>8.0</v>
      </c>
      <c r="U81" s="134">
        <v>0.0</v>
      </c>
      <c r="V81" s="130"/>
      <c r="W81" s="130"/>
      <c r="X81" s="130"/>
      <c r="Y81" s="130"/>
      <c r="Z81" s="130"/>
      <c r="AA81" s="130"/>
      <c r="AB81" s="130"/>
      <c r="AC81" s="130"/>
      <c r="AD81" s="130"/>
      <c r="AE81" s="130"/>
      <c r="AF81" s="130"/>
      <c r="AG81" s="130"/>
      <c r="AH81" s="130"/>
      <c r="AI81" s="130"/>
      <c r="AJ81" s="130"/>
      <c r="AK81" s="130"/>
      <c r="AL81" s="130"/>
      <c r="AM81" s="130"/>
      <c r="AN81" s="130"/>
    </row>
    <row r="82" hidden="1">
      <c r="A82" s="202" t="s">
        <v>290</v>
      </c>
      <c r="B82" s="137"/>
      <c r="C82" s="133"/>
      <c r="D82" s="133"/>
      <c r="E82" s="130"/>
      <c r="F82" s="133"/>
      <c r="G82" s="133"/>
      <c r="H82" s="133"/>
      <c r="J82" s="133"/>
      <c r="K82" s="133"/>
      <c r="L82" s="133"/>
      <c r="M82" s="133"/>
      <c r="N82" s="133"/>
      <c r="O82" s="200"/>
      <c r="P82" s="130"/>
      <c r="Q82" s="130"/>
      <c r="R82" s="130"/>
      <c r="S82" s="130"/>
      <c r="U82" s="134">
        <v>0.0</v>
      </c>
      <c r="V82" s="130"/>
      <c r="W82" s="130"/>
      <c r="X82" s="130"/>
      <c r="Y82" s="130"/>
      <c r="Z82" s="130"/>
      <c r="AA82" s="130"/>
      <c r="AB82" s="130"/>
      <c r="AC82" s="130"/>
      <c r="AD82" s="130"/>
      <c r="AE82" s="130"/>
      <c r="AF82" s="130"/>
      <c r="AG82" s="130"/>
      <c r="AH82" s="130"/>
      <c r="AI82" s="130"/>
      <c r="AJ82" s="130"/>
      <c r="AK82" s="130"/>
      <c r="AL82" s="130"/>
      <c r="AM82" s="130"/>
      <c r="AN82" s="130"/>
    </row>
    <row r="83" hidden="1">
      <c r="A83" s="202" t="s">
        <v>291</v>
      </c>
      <c r="B83" s="137"/>
      <c r="C83" s="133"/>
      <c r="D83" s="133">
        <v>13.0</v>
      </c>
      <c r="E83" s="133">
        <v>5.0</v>
      </c>
      <c r="F83" s="133">
        <v>0.0</v>
      </c>
      <c r="G83" s="133">
        <v>0.0</v>
      </c>
      <c r="H83" s="133">
        <v>13.0</v>
      </c>
      <c r="J83" s="133"/>
      <c r="K83" s="133"/>
      <c r="L83" s="133"/>
      <c r="M83" s="133"/>
      <c r="N83" s="133"/>
      <c r="O83" s="200"/>
      <c r="P83" s="133"/>
      <c r="Q83" s="133"/>
      <c r="R83" s="133"/>
      <c r="S83" s="133"/>
      <c r="U83" s="134">
        <v>0.0</v>
      </c>
      <c r="V83" s="133"/>
      <c r="W83" s="133"/>
      <c r="X83" s="133"/>
      <c r="Y83" s="133"/>
      <c r="Z83" s="133"/>
      <c r="AA83" s="133"/>
      <c r="AB83" s="130"/>
      <c r="AC83" s="130"/>
      <c r="AD83" s="130"/>
      <c r="AE83" s="130"/>
      <c r="AF83" s="130"/>
      <c r="AG83" s="130"/>
      <c r="AH83" s="130"/>
      <c r="AI83" s="130"/>
      <c r="AJ83" s="130"/>
      <c r="AK83" s="130"/>
      <c r="AL83" s="130"/>
      <c r="AM83" s="130"/>
      <c r="AN83" s="130"/>
    </row>
    <row r="84" hidden="1">
      <c r="A84" s="202" t="s">
        <v>292</v>
      </c>
      <c r="B84" s="132"/>
      <c r="C84" s="133">
        <v>3.0</v>
      </c>
      <c r="D84" s="130"/>
      <c r="E84" s="130"/>
      <c r="F84" s="130"/>
      <c r="G84" s="130"/>
      <c r="H84" s="130"/>
      <c r="J84" s="130"/>
      <c r="K84" s="130"/>
      <c r="L84" s="130"/>
      <c r="M84" s="130"/>
      <c r="N84" s="130"/>
      <c r="O84" s="291"/>
      <c r="P84" s="130"/>
      <c r="Q84" s="133"/>
      <c r="R84" s="133"/>
      <c r="S84" s="133"/>
      <c r="U84" s="134">
        <v>0.0</v>
      </c>
      <c r="V84" s="133"/>
      <c r="W84" s="133"/>
      <c r="X84" s="133"/>
      <c r="Y84" s="133"/>
      <c r="Z84" s="133"/>
      <c r="AA84" s="133"/>
      <c r="AB84" s="133"/>
      <c r="AC84" s="130"/>
      <c r="AD84" s="130"/>
      <c r="AE84" s="130"/>
      <c r="AF84" s="130"/>
      <c r="AG84" s="130"/>
      <c r="AH84" s="130"/>
      <c r="AI84" s="130"/>
      <c r="AJ84" s="130"/>
      <c r="AK84" s="130"/>
      <c r="AL84" s="130"/>
      <c r="AM84" s="130"/>
      <c r="AN84" s="130"/>
    </row>
    <row r="85">
      <c r="A85" s="287" t="s">
        <v>293</v>
      </c>
      <c r="B85" s="132"/>
      <c r="C85" s="133"/>
      <c r="D85" s="130"/>
      <c r="E85" s="133">
        <v>20.0</v>
      </c>
      <c r="F85" s="133">
        <v>0.0</v>
      </c>
      <c r="G85" s="133">
        <v>13.0</v>
      </c>
      <c r="H85" s="133">
        <v>8.0</v>
      </c>
      <c r="I85" s="199">
        <v>8.0</v>
      </c>
      <c r="J85" s="133">
        <v>0.0</v>
      </c>
      <c r="K85" s="133">
        <v>21.0</v>
      </c>
      <c r="L85" s="133">
        <v>8.0</v>
      </c>
      <c r="M85" s="133">
        <v>0.0</v>
      </c>
      <c r="N85" s="133">
        <v>26.0</v>
      </c>
      <c r="O85" s="200">
        <v>13.0</v>
      </c>
      <c r="P85" s="133">
        <v>21.0</v>
      </c>
      <c r="Q85" s="133">
        <v>21.0</v>
      </c>
      <c r="R85" s="133">
        <v>0.0</v>
      </c>
      <c r="S85" s="133">
        <v>0.0</v>
      </c>
      <c r="U85" s="134">
        <v>0.0</v>
      </c>
      <c r="V85" s="133"/>
      <c r="W85" s="133"/>
      <c r="X85" s="133"/>
      <c r="Y85" s="133"/>
      <c r="Z85" s="133"/>
      <c r="AA85" s="133"/>
      <c r="AB85" s="133"/>
      <c r="AC85" s="130"/>
      <c r="AD85" s="130"/>
      <c r="AE85" s="130"/>
      <c r="AF85" s="130"/>
      <c r="AG85" s="130"/>
      <c r="AH85" s="130"/>
      <c r="AI85" s="130"/>
      <c r="AJ85" s="130"/>
      <c r="AK85" s="130"/>
      <c r="AL85" s="130"/>
      <c r="AM85" s="130"/>
      <c r="AN85" s="130"/>
    </row>
    <row r="86" hidden="1">
      <c r="A86" s="202" t="s">
        <v>221</v>
      </c>
      <c r="B86" s="132"/>
      <c r="C86" s="133"/>
      <c r="D86" s="130"/>
      <c r="E86" s="130"/>
      <c r="F86" s="130"/>
      <c r="G86" s="130"/>
      <c r="H86" s="130"/>
      <c r="J86" s="130"/>
      <c r="K86" s="130"/>
      <c r="L86" s="130"/>
      <c r="M86" s="130"/>
      <c r="N86" s="130"/>
      <c r="O86" s="291"/>
      <c r="P86" s="130"/>
      <c r="Q86" s="133"/>
      <c r="R86" s="133"/>
      <c r="S86" s="133"/>
      <c r="U86" s="134">
        <v>0.0</v>
      </c>
      <c r="V86" s="133"/>
      <c r="W86" s="133"/>
      <c r="X86" s="133"/>
      <c r="Y86" s="133"/>
      <c r="Z86" s="133"/>
      <c r="AA86" s="133"/>
      <c r="AB86" s="133"/>
      <c r="AC86" s="130"/>
      <c r="AD86" s="130"/>
      <c r="AE86" s="130"/>
      <c r="AF86" s="130"/>
      <c r="AG86" s="130"/>
      <c r="AH86" s="130"/>
      <c r="AI86" s="130"/>
      <c r="AJ86" s="130"/>
      <c r="AK86" s="130"/>
      <c r="AL86" s="130"/>
      <c r="AM86" s="130"/>
      <c r="AN86" s="130"/>
    </row>
    <row r="87" hidden="1">
      <c r="A87" s="202" t="s">
        <v>294</v>
      </c>
      <c r="B87" s="132"/>
      <c r="C87" s="133"/>
      <c r="D87" s="130"/>
      <c r="E87" s="133">
        <v>11.0</v>
      </c>
      <c r="F87" s="133">
        <v>21.0</v>
      </c>
      <c r="G87" s="133">
        <v>34.0</v>
      </c>
      <c r="H87" s="133">
        <v>39.0</v>
      </c>
      <c r="I87" s="199">
        <v>5.0</v>
      </c>
      <c r="J87" s="133">
        <v>16.0</v>
      </c>
      <c r="K87" s="133">
        <v>21.0</v>
      </c>
      <c r="L87" s="133">
        <v>27.0</v>
      </c>
      <c r="M87" s="133">
        <v>13.0</v>
      </c>
      <c r="N87" s="133">
        <v>21.0</v>
      </c>
      <c r="O87" s="200">
        <v>0.0</v>
      </c>
      <c r="P87" s="133">
        <v>13.0</v>
      </c>
      <c r="Q87" s="133">
        <v>13.0</v>
      </c>
      <c r="R87" s="133">
        <v>0.0</v>
      </c>
      <c r="S87" s="133">
        <v>0.0</v>
      </c>
      <c r="T87" s="199">
        <v>0.0</v>
      </c>
      <c r="U87" s="134">
        <v>0.0</v>
      </c>
      <c r="V87" s="133"/>
      <c r="W87" s="133"/>
      <c r="X87" s="133"/>
      <c r="Y87" s="133"/>
      <c r="Z87" s="133"/>
      <c r="AA87" s="133"/>
      <c r="AB87" s="133"/>
      <c r="AC87" s="130"/>
      <c r="AD87" s="130"/>
      <c r="AE87" s="130"/>
      <c r="AF87" s="130"/>
      <c r="AG87" s="130"/>
      <c r="AH87" s="130"/>
      <c r="AI87" s="130"/>
      <c r="AJ87" s="130"/>
      <c r="AK87" s="130"/>
      <c r="AL87" s="130"/>
      <c r="AM87" s="130"/>
      <c r="AN87" s="130"/>
    </row>
    <row r="88" hidden="1">
      <c r="A88" s="287" t="s">
        <v>297</v>
      </c>
      <c r="B88" s="132"/>
      <c r="C88" s="133"/>
      <c r="D88" s="130"/>
      <c r="E88" s="130"/>
      <c r="F88" s="130"/>
      <c r="G88" s="130"/>
      <c r="H88" s="130"/>
      <c r="I88" s="130"/>
      <c r="J88" s="130"/>
      <c r="K88" s="130"/>
      <c r="L88" s="133">
        <v>8.0</v>
      </c>
      <c r="M88" s="130"/>
      <c r="N88" s="133">
        <v>0.0</v>
      </c>
      <c r="O88" s="200">
        <v>0.0</v>
      </c>
      <c r="P88" s="133">
        <v>0.0</v>
      </c>
      <c r="Q88" s="133"/>
      <c r="R88" s="133"/>
      <c r="S88" s="133"/>
      <c r="U88" s="134">
        <v>0.0</v>
      </c>
      <c r="V88" s="133"/>
      <c r="W88" s="133"/>
      <c r="X88" s="133"/>
      <c r="Y88" s="133"/>
      <c r="Z88" s="133"/>
      <c r="AA88" s="133"/>
      <c r="AB88" s="133"/>
      <c r="AC88" s="130"/>
      <c r="AD88" s="130"/>
      <c r="AE88" s="130"/>
      <c r="AF88" s="130"/>
      <c r="AG88" s="130"/>
      <c r="AH88" s="130"/>
      <c r="AI88" s="130"/>
      <c r="AJ88" s="130"/>
      <c r="AK88" s="130"/>
      <c r="AL88" s="130"/>
      <c r="AM88" s="130"/>
      <c r="AN88" s="130"/>
    </row>
    <row r="89">
      <c r="A89" s="287" t="s">
        <v>295</v>
      </c>
      <c r="B89" s="132"/>
      <c r="C89" s="133"/>
      <c r="D89" s="130"/>
      <c r="E89" s="130"/>
      <c r="F89" s="130"/>
      <c r="G89" s="130"/>
      <c r="H89" s="130"/>
      <c r="I89" s="130"/>
      <c r="J89" s="130"/>
      <c r="K89" s="130"/>
      <c r="L89" s="133"/>
      <c r="M89" s="130"/>
      <c r="N89" s="133"/>
      <c r="O89" s="200">
        <v>0.0</v>
      </c>
      <c r="P89" s="133">
        <v>0.0</v>
      </c>
      <c r="Q89" s="133">
        <v>8.0</v>
      </c>
      <c r="R89" s="133">
        <v>13.0</v>
      </c>
      <c r="S89" s="133">
        <v>0.0</v>
      </c>
      <c r="T89" s="199">
        <v>13.0</v>
      </c>
      <c r="U89" s="134">
        <v>0.0</v>
      </c>
      <c r="V89" s="133"/>
      <c r="W89" s="133"/>
      <c r="X89" s="133"/>
      <c r="Y89" s="133"/>
      <c r="Z89" s="133"/>
      <c r="AA89" s="133"/>
      <c r="AB89" s="133"/>
      <c r="AC89" s="130"/>
      <c r="AD89" s="130"/>
      <c r="AE89" s="130"/>
      <c r="AF89" s="130"/>
      <c r="AG89" s="130"/>
      <c r="AH89" s="130"/>
      <c r="AI89" s="130"/>
      <c r="AJ89" s="130"/>
      <c r="AK89" s="130"/>
      <c r="AL89" s="130"/>
      <c r="AM89" s="130"/>
      <c r="AN89" s="130"/>
    </row>
    <row r="90">
      <c r="A90" s="287" t="s">
        <v>300</v>
      </c>
      <c r="B90" s="205"/>
      <c r="C90" s="205"/>
      <c r="D90" s="130"/>
      <c r="E90" s="133"/>
      <c r="F90" s="133"/>
      <c r="G90" s="133"/>
      <c r="H90" s="133"/>
      <c r="I90" s="133"/>
      <c r="J90" s="133"/>
      <c r="K90" s="133"/>
      <c r="L90" s="133"/>
      <c r="M90" s="133"/>
      <c r="N90" s="133"/>
      <c r="O90" s="133"/>
      <c r="P90" s="133"/>
      <c r="Q90" s="133"/>
      <c r="R90" s="133"/>
      <c r="S90" s="133"/>
      <c r="T90" s="133"/>
      <c r="U90" s="134">
        <v>0.0</v>
      </c>
      <c r="V90" s="133"/>
      <c r="W90" s="133"/>
      <c r="X90" s="133"/>
      <c r="Y90" s="133"/>
      <c r="Z90" s="133"/>
      <c r="AA90" s="133"/>
      <c r="AB90" s="133"/>
      <c r="AC90" s="130"/>
      <c r="AD90" s="130"/>
      <c r="AE90" s="130"/>
      <c r="AF90" s="130"/>
      <c r="AG90" s="130"/>
      <c r="AH90" s="130"/>
      <c r="AI90" s="130"/>
      <c r="AJ90" s="130"/>
      <c r="AK90" s="130"/>
      <c r="AL90" s="130"/>
      <c r="AM90" s="130"/>
      <c r="AN90" s="130"/>
    </row>
    <row r="91">
      <c r="A91" s="287" t="s">
        <v>298</v>
      </c>
      <c r="B91" s="205"/>
      <c r="C91" s="205"/>
      <c r="D91" s="130"/>
      <c r="E91" s="133"/>
      <c r="F91" s="133"/>
      <c r="G91" s="133"/>
      <c r="H91" s="133"/>
      <c r="I91" s="133"/>
      <c r="J91" s="133"/>
      <c r="K91" s="133"/>
      <c r="L91" s="133"/>
      <c r="M91" s="133"/>
      <c r="N91" s="133"/>
      <c r="O91" s="133"/>
      <c r="P91" s="133"/>
      <c r="Q91" s="133"/>
      <c r="R91" s="133"/>
      <c r="S91" s="133"/>
      <c r="T91" s="133">
        <v>3.0</v>
      </c>
      <c r="U91" s="134">
        <v>0.0</v>
      </c>
      <c r="V91" s="133"/>
      <c r="W91" s="133"/>
      <c r="X91" s="133"/>
      <c r="Y91" s="133"/>
      <c r="Z91" s="133"/>
      <c r="AA91" s="133"/>
      <c r="AB91" s="133"/>
      <c r="AC91" s="130"/>
      <c r="AD91" s="130"/>
      <c r="AE91" s="130"/>
      <c r="AF91" s="130"/>
      <c r="AG91" s="130"/>
      <c r="AH91" s="130"/>
      <c r="AI91" s="130"/>
      <c r="AJ91" s="130"/>
      <c r="AK91" s="130"/>
      <c r="AL91" s="130"/>
      <c r="AM91" s="130"/>
      <c r="AN91" s="130"/>
    </row>
    <row r="92">
      <c r="A92" s="287" t="s">
        <v>299</v>
      </c>
      <c r="B92" s="205"/>
      <c r="C92" s="205"/>
      <c r="D92" s="130"/>
      <c r="E92" s="133"/>
      <c r="F92" s="133"/>
      <c r="G92" s="133"/>
      <c r="H92" s="133"/>
      <c r="I92" s="133"/>
      <c r="J92" s="133"/>
      <c r="K92" s="133"/>
      <c r="L92" s="133"/>
      <c r="M92" s="133"/>
      <c r="N92" s="133"/>
      <c r="O92" s="133"/>
      <c r="P92" s="133"/>
      <c r="Q92" s="133"/>
      <c r="R92" s="133"/>
      <c r="S92" s="133"/>
      <c r="T92" s="133">
        <v>3.0</v>
      </c>
      <c r="U92" s="134">
        <v>0.0</v>
      </c>
      <c r="V92" s="133"/>
      <c r="W92" s="133"/>
      <c r="X92" s="133"/>
      <c r="Y92" s="133"/>
      <c r="Z92" s="133"/>
      <c r="AA92" s="133"/>
      <c r="AB92" s="133"/>
      <c r="AC92" s="130"/>
      <c r="AD92" s="130"/>
      <c r="AE92" s="130"/>
      <c r="AF92" s="130"/>
      <c r="AG92" s="130"/>
      <c r="AH92" s="130"/>
      <c r="AI92" s="130"/>
      <c r="AJ92" s="130"/>
      <c r="AK92" s="130"/>
      <c r="AL92" s="130"/>
      <c r="AM92" s="130"/>
      <c r="AN92" s="130"/>
    </row>
    <row r="93">
      <c r="A93" s="287" t="s">
        <v>297</v>
      </c>
      <c r="B93" s="205"/>
      <c r="C93" s="205"/>
      <c r="D93" s="130"/>
      <c r="E93" s="133"/>
      <c r="F93" s="133"/>
      <c r="G93" s="133"/>
      <c r="H93" s="133"/>
      <c r="I93" s="133"/>
      <c r="J93" s="133"/>
      <c r="K93" s="133"/>
      <c r="L93" s="133"/>
      <c r="M93" s="133"/>
      <c r="N93" s="133"/>
      <c r="O93" s="133"/>
      <c r="P93" s="133"/>
      <c r="Q93" s="133"/>
      <c r="R93" s="133"/>
      <c r="S93" s="133"/>
      <c r="T93" s="133"/>
      <c r="U93" s="134">
        <v>0.0</v>
      </c>
      <c r="V93" s="133"/>
      <c r="W93" s="133"/>
      <c r="X93" s="133"/>
      <c r="Y93" s="133"/>
      <c r="Z93" s="133"/>
      <c r="AA93" s="133"/>
      <c r="AB93" s="133"/>
      <c r="AC93" s="130"/>
      <c r="AD93" s="130"/>
      <c r="AE93" s="130"/>
      <c r="AF93" s="130"/>
      <c r="AG93" s="130"/>
      <c r="AH93" s="130"/>
      <c r="AI93" s="130"/>
      <c r="AJ93" s="130"/>
      <c r="AK93" s="130"/>
      <c r="AL93" s="130"/>
      <c r="AM93" s="130"/>
      <c r="AN93" s="130"/>
    </row>
    <row r="94">
      <c r="A94" s="262" t="s">
        <v>225</v>
      </c>
      <c r="B94" s="283"/>
      <c r="C94" s="128"/>
      <c r="D94" s="128"/>
      <c r="E94" s="128"/>
      <c r="F94" s="284"/>
      <c r="G94" s="284"/>
      <c r="H94" s="284"/>
      <c r="I94" s="284"/>
      <c r="J94" s="284"/>
      <c r="K94" s="284"/>
      <c r="L94" s="284"/>
      <c r="M94" s="284"/>
      <c r="N94" s="284"/>
      <c r="O94" s="289"/>
      <c r="P94" s="284"/>
      <c r="Q94" s="284"/>
      <c r="R94" s="284"/>
      <c r="S94" s="284"/>
      <c r="T94" s="284"/>
      <c r="U94" s="129"/>
      <c r="V94" s="128"/>
      <c r="W94" s="128"/>
      <c r="X94" s="128"/>
      <c r="Y94" s="128"/>
      <c r="Z94" s="128"/>
      <c r="AA94" s="128"/>
      <c r="AB94" s="128"/>
      <c r="AC94" s="128"/>
      <c r="AD94" s="130"/>
      <c r="AE94" s="130"/>
      <c r="AF94" s="130"/>
      <c r="AG94" s="130"/>
      <c r="AH94" s="130"/>
      <c r="AI94" s="130"/>
      <c r="AJ94" s="130"/>
      <c r="AK94" s="130"/>
      <c r="AL94" s="130"/>
      <c r="AM94" s="130"/>
      <c r="AN94" s="130"/>
    </row>
    <row r="95">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row r="947">
      <c r="B947" s="138"/>
      <c r="U947" s="31"/>
    </row>
    <row r="948">
      <c r="B948" s="138"/>
      <c r="U948" s="31"/>
    </row>
    <row r="949">
      <c r="B949" s="138"/>
      <c r="U949" s="31"/>
    </row>
    <row r="950">
      <c r="B950" s="138"/>
      <c r="U950" s="31"/>
    </row>
    <row r="951">
      <c r="B951" s="138"/>
      <c r="U951" s="31"/>
    </row>
    <row r="952">
      <c r="B952" s="138"/>
      <c r="U952" s="31"/>
    </row>
    <row r="953">
      <c r="B953" s="138"/>
      <c r="U953" s="31"/>
    </row>
  </sheetData>
  <mergeCells count="16">
    <mergeCell ref="H2:I2"/>
    <mergeCell ref="J2:L2"/>
    <mergeCell ref="M2:N2"/>
    <mergeCell ref="O2:P2"/>
    <mergeCell ref="Q2:R2"/>
    <mergeCell ref="S2:T2"/>
    <mergeCell ref="U2:V2"/>
    <mergeCell ref="W2:Y2"/>
    <mergeCell ref="B1:G1"/>
    <mergeCell ref="H1:N1"/>
    <mergeCell ref="O1:T1"/>
    <mergeCell ref="U1:AA1"/>
    <mergeCell ref="B2:C2"/>
    <mergeCell ref="D2:E2"/>
    <mergeCell ref="F2:G2"/>
    <mergeCell ref="Z2:AA2"/>
  </mergeCells>
  <dataValidations>
    <dataValidation type="list" allowBlank="1" showErrorMessage="1" sqref="B23:AA23 B31:AA31">
      <formula1>"0%,100%"</formula1>
    </dataValidation>
  </dataValidation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32.75"/>
    <col customWidth="1" min="2" max="2" width="17.75"/>
    <col customWidth="1" min="3" max="3" width="16.75"/>
    <col customWidth="1" min="4" max="4" width="20.38"/>
    <col customWidth="1" min="5" max="5" width="24.38"/>
    <col customWidth="1" min="6" max="6" width="21.38"/>
    <col customWidth="1" min="7" max="7" width="21.63"/>
    <col customWidth="1" min="8" max="8" width="24.25"/>
    <col customWidth="1" min="9" max="9" width="26.0"/>
    <col customWidth="1" min="10" max="10" width="24.63"/>
    <col customWidth="1" min="11" max="11" width="20.13"/>
    <col customWidth="1" min="12" max="12" width="23.13"/>
    <col customWidth="1" min="13" max="13" width="27.5"/>
    <col customWidth="1" min="14" max="14" width="25.63"/>
    <col customWidth="1" min="15" max="15" width="26.25"/>
    <col customWidth="1" min="16" max="16" width="40.5"/>
    <col customWidth="1" min="17" max="17" width="32.25"/>
    <col customWidth="1" min="18" max="18" width="30.13"/>
    <col customWidth="1" min="19" max="19" width="29.13"/>
    <col customWidth="1" min="20" max="20" width="28.13"/>
    <col customWidth="1" min="21" max="21" width="30.13"/>
    <col customWidth="1" min="28" max="28" width="13.5"/>
  </cols>
  <sheetData>
    <row r="1" ht="30.0" customHeight="1">
      <c r="A1" s="1" t="s">
        <v>0</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c r="AN2" s="12"/>
    </row>
    <row r="3">
      <c r="A3" s="6" t="s">
        <v>6</v>
      </c>
      <c r="B3" s="13" t="s">
        <v>7</v>
      </c>
      <c r="C3" s="14"/>
      <c r="D3" s="15" t="s">
        <v>8</v>
      </c>
      <c r="E3" s="9"/>
      <c r="F3" s="10" t="s">
        <v>9</v>
      </c>
      <c r="G3" s="9"/>
      <c r="H3" s="293" t="s">
        <v>10</v>
      </c>
      <c r="I3" s="9"/>
      <c r="J3" s="10" t="s">
        <v>11</v>
      </c>
      <c r="K3" s="8"/>
      <c r="L3" s="9"/>
      <c r="M3" s="16" t="s">
        <v>12</v>
      </c>
      <c r="N3" s="9"/>
      <c r="O3" s="10" t="s">
        <v>13</v>
      </c>
      <c r="P3" s="9"/>
      <c r="Q3" s="15" t="s">
        <v>14</v>
      </c>
      <c r="R3" s="9"/>
      <c r="S3" s="10" t="s">
        <v>15</v>
      </c>
      <c r="T3" s="9"/>
      <c r="U3" s="17" t="s">
        <v>16</v>
      </c>
      <c r="V3" s="9"/>
      <c r="W3" s="10" t="s">
        <v>17</v>
      </c>
      <c r="X3" s="8"/>
      <c r="Y3" s="9"/>
      <c r="Z3" s="16" t="s">
        <v>18</v>
      </c>
      <c r="AA3" s="9"/>
      <c r="AB3" s="12"/>
      <c r="AC3" s="12"/>
      <c r="AD3" s="12"/>
      <c r="AE3" s="12"/>
      <c r="AF3" s="12"/>
      <c r="AG3" s="12"/>
      <c r="AH3" s="12"/>
      <c r="AI3" s="12"/>
      <c r="AJ3" s="12"/>
      <c r="AK3" s="12"/>
      <c r="AL3" s="12"/>
      <c r="AM3" s="12"/>
      <c r="AN3" s="12"/>
    </row>
    <row r="4">
      <c r="A4" s="6" t="s">
        <v>19</v>
      </c>
      <c r="B4" s="18" t="s">
        <v>303</v>
      </c>
      <c r="C4" s="18" t="s">
        <v>304</v>
      </c>
      <c r="D4" s="18" t="s">
        <v>305</v>
      </c>
      <c r="E4" s="18" t="s">
        <v>306</v>
      </c>
      <c r="F4" s="18" t="s">
        <v>307</v>
      </c>
      <c r="G4" s="18" t="s">
        <v>308</v>
      </c>
      <c r="H4" s="18" t="s">
        <v>309</v>
      </c>
      <c r="I4" s="18" t="s">
        <v>310</v>
      </c>
      <c r="J4" s="18" t="s">
        <v>311</v>
      </c>
      <c r="K4" s="18" t="s">
        <v>312</v>
      </c>
      <c r="L4" s="18" t="s">
        <v>313</v>
      </c>
      <c r="M4" s="18" t="s">
        <v>314</v>
      </c>
      <c r="N4" s="18" t="s">
        <v>315</v>
      </c>
      <c r="O4" s="18" t="s">
        <v>316</v>
      </c>
      <c r="P4" s="18" t="s">
        <v>317</v>
      </c>
      <c r="Q4" s="18" t="s">
        <v>318</v>
      </c>
      <c r="R4" s="18" t="s">
        <v>319</v>
      </c>
      <c r="S4" s="18" t="s">
        <v>320</v>
      </c>
      <c r="T4" s="18" t="s">
        <v>321</v>
      </c>
      <c r="U4" s="18" t="s">
        <v>322</v>
      </c>
      <c r="V4" s="19"/>
      <c r="W4" s="19"/>
      <c r="X4" s="19"/>
      <c r="Y4" s="19"/>
      <c r="Z4" s="19"/>
      <c r="AA4" s="21"/>
      <c r="AB4" s="12"/>
      <c r="AC4" s="12"/>
      <c r="AD4" s="12"/>
      <c r="AE4" s="12"/>
      <c r="AF4" s="12"/>
      <c r="AG4" s="12"/>
      <c r="AH4" s="12"/>
      <c r="AI4" s="12"/>
      <c r="AJ4" s="12"/>
      <c r="AK4" s="12"/>
      <c r="AL4" s="12"/>
      <c r="AM4" s="12"/>
      <c r="AN4" s="12"/>
    </row>
    <row r="5">
      <c r="A5" s="22" t="s">
        <v>20</v>
      </c>
      <c r="B5" s="23" t="s">
        <v>323</v>
      </c>
      <c r="C5" s="23" t="s">
        <v>324</v>
      </c>
      <c r="D5" s="23" t="s">
        <v>325</v>
      </c>
      <c r="E5" s="23" t="s">
        <v>326</v>
      </c>
      <c r="F5" s="23" t="s">
        <v>327</v>
      </c>
      <c r="G5" s="23" t="s">
        <v>328</v>
      </c>
      <c r="H5" s="23" t="s">
        <v>329</v>
      </c>
      <c r="I5" s="23" t="s">
        <v>330</v>
      </c>
      <c r="J5" s="23" t="s">
        <v>331</v>
      </c>
      <c r="K5" s="23" t="s">
        <v>332</v>
      </c>
      <c r="L5" s="23" t="s">
        <v>333</v>
      </c>
      <c r="M5" s="23" t="s">
        <v>334</v>
      </c>
      <c r="N5" s="23" t="s">
        <v>335</v>
      </c>
      <c r="O5" s="23" t="s">
        <v>336</v>
      </c>
      <c r="P5" s="23" t="s">
        <v>337</v>
      </c>
      <c r="Q5" s="23" t="s">
        <v>338</v>
      </c>
      <c r="R5" s="23" t="s">
        <v>339</v>
      </c>
      <c r="S5" s="23" t="s">
        <v>340</v>
      </c>
      <c r="T5" s="23" t="s">
        <v>341</v>
      </c>
      <c r="U5" s="23" t="s">
        <v>342</v>
      </c>
      <c r="V5" s="25"/>
      <c r="W5" s="24"/>
      <c r="X5" s="24"/>
      <c r="Y5" s="24"/>
      <c r="Z5" s="25"/>
      <c r="AA5" s="25"/>
      <c r="AB5" s="27"/>
      <c r="AC5" s="28"/>
      <c r="AD5" s="28"/>
      <c r="AE5" s="28"/>
      <c r="AF5" s="28"/>
      <c r="AG5" s="28"/>
      <c r="AH5" s="28"/>
      <c r="AI5" s="28"/>
      <c r="AJ5" s="28"/>
      <c r="AK5" s="28"/>
      <c r="AL5" s="28"/>
      <c r="AM5" s="28"/>
      <c r="AN5" s="28"/>
    </row>
    <row r="6">
      <c r="A6" s="29"/>
      <c r="B6" s="30"/>
      <c r="U6" s="31"/>
    </row>
    <row r="7">
      <c r="A7" s="32" t="s">
        <v>21</v>
      </c>
      <c r="B7" s="33">
        <f t="shared" ref="B7:U7" si="1">B8+B9</f>
        <v>390</v>
      </c>
      <c r="C7" s="33">
        <f t="shared" si="1"/>
        <v>359</v>
      </c>
      <c r="D7" s="33">
        <f t="shared" si="1"/>
        <v>284</v>
      </c>
      <c r="E7" s="33">
        <f t="shared" si="1"/>
        <v>382</v>
      </c>
      <c r="F7" s="33">
        <f t="shared" si="1"/>
        <v>281</v>
      </c>
      <c r="G7" s="33">
        <f t="shared" si="1"/>
        <v>310</v>
      </c>
      <c r="H7" s="33">
        <f t="shared" si="1"/>
        <v>370</v>
      </c>
      <c r="I7" s="33">
        <f t="shared" si="1"/>
        <v>283</v>
      </c>
      <c r="J7" s="33">
        <f t="shared" si="1"/>
        <v>277</v>
      </c>
      <c r="K7" s="33">
        <f t="shared" si="1"/>
        <v>282</v>
      </c>
      <c r="L7" s="33">
        <f t="shared" si="1"/>
        <v>336</v>
      </c>
      <c r="M7" s="33">
        <f t="shared" si="1"/>
        <v>363</v>
      </c>
      <c r="N7" s="33">
        <f t="shared" si="1"/>
        <v>375</v>
      </c>
      <c r="O7" s="33">
        <f t="shared" si="1"/>
        <v>225</v>
      </c>
      <c r="P7" s="33">
        <f t="shared" si="1"/>
        <v>241</v>
      </c>
      <c r="Q7" s="33">
        <f t="shared" si="1"/>
        <v>224</v>
      </c>
      <c r="R7" s="33">
        <f t="shared" si="1"/>
        <v>222</v>
      </c>
      <c r="S7" s="33">
        <f t="shared" si="1"/>
        <v>254</v>
      </c>
      <c r="T7" s="33">
        <f t="shared" si="1"/>
        <v>228</v>
      </c>
      <c r="U7" s="33">
        <f t="shared" si="1"/>
        <v>277</v>
      </c>
      <c r="V7" s="34"/>
      <c r="W7" s="34"/>
      <c r="X7" s="34"/>
      <c r="Y7" s="34"/>
      <c r="Z7" s="34"/>
      <c r="AA7" s="34"/>
    </row>
    <row r="8">
      <c r="A8" s="37" t="s">
        <v>22</v>
      </c>
      <c r="B8" s="38">
        <f t="shared" ref="B8:U8" si="2">B38+B54</f>
        <v>348</v>
      </c>
      <c r="C8" s="38">
        <f t="shared" si="2"/>
        <v>335</v>
      </c>
      <c r="D8" s="38">
        <f t="shared" si="2"/>
        <v>274</v>
      </c>
      <c r="E8" s="38">
        <f t="shared" si="2"/>
        <v>376</v>
      </c>
      <c r="F8" s="38">
        <f t="shared" si="2"/>
        <v>234</v>
      </c>
      <c r="G8" s="38">
        <f t="shared" si="2"/>
        <v>256</v>
      </c>
      <c r="H8" s="38">
        <f t="shared" si="2"/>
        <v>369</v>
      </c>
      <c r="I8" s="38">
        <f t="shared" si="2"/>
        <v>283</v>
      </c>
      <c r="J8" s="38">
        <f t="shared" si="2"/>
        <v>249</v>
      </c>
      <c r="K8" s="38">
        <f t="shared" si="2"/>
        <v>264</v>
      </c>
      <c r="L8" s="38">
        <f t="shared" si="2"/>
        <v>315</v>
      </c>
      <c r="M8" s="38">
        <f t="shared" si="2"/>
        <v>260</v>
      </c>
      <c r="N8" s="38">
        <f t="shared" si="2"/>
        <v>353</v>
      </c>
      <c r="O8" s="38">
        <f t="shared" si="2"/>
        <v>216</v>
      </c>
      <c r="P8" s="38">
        <f t="shared" si="2"/>
        <v>217</v>
      </c>
      <c r="Q8" s="38">
        <f t="shared" si="2"/>
        <v>218</v>
      </c>
      <c r="R8" s="38">
        <f t="shared" si="2"/>
        <v>167</v>
      </c>
      <c r="S8" s="38">
        <f t="shared" si="2"/>
        <v>231</v>
      </c>
      <c r="T8" s="38">
        <f t="shared" si="2"/>
        <v>190</v>
      </c>
      <c r="U8" s="38">
        <f t="shared" si="2"/>
        <v>232</v>
      </c>
      <c r="V8" s="39"/>
      <c r="W8" s="39"/>
      <c r="X8" s="39"/>
      <c r="Y8" s="39"/>
      <c r="Z8" s="39"/>
      <c r="AA8" s="39"/>
    </row>
    <row r="9">
      <c r="A9" s="37" t="s">
        <v>23</v>
      </c>
      <c r="B9" s="38">
        <v>42.0</v>
      </c>
      <c r="C9" s="39">
        <v>24.0</v>
      </c>
      <c r="D9" s="39">
        <v>10.0</v>
      </c>
      <c r="E9" s="39">
        <v>6.0</v>
      </c>
      <c r="F9" s="39">
        <v>47.0</v>
      </c>
      <c r="G9" s="39">
        <v>54.0</v>
      </c>
      <c r="H9" s="39">
        <v>1.0</v>
      </c>
      <c r="I9" s="39">
        <v>0.0</v>
      </c>
      <c r="J9" s="39">
        <v>28.0</v>
      </c>
      <c r="K9" s="39">
        <v>18.0</v>
      </c>
      <c r="L9" s="39">
        <v>21.0</v>
      </c>
      <c r="M9" s="39">
        <v>103.0</v>
      </c>
      <c r="N9" s="39">
        <v>22.0</v>
      </c>
      <c r="O9" s="39">
        <v>9.0</v>
      </c>
      <c r="P9" s="39">
        <v>24.0</v>
      </c>
      <c r="Q9" s="39">
        <v>6.0</v>
      </c>
      <c r="R9" s="39">
        <v>55.0</v>
      </c>
      <c r="S9" s="39">
        <v>23.0</v>
      </c>
      <c r="T9" s="40">
        <v>38.0</v>
      </c>
      <c r="U9" s="41">
        <v>45.0</v>
      </c>
      <c r="V9" s="41"/>
      <c r="W9" s="41"/>
      <c r="X9" s="41"/>
      <c r="Y9" s="41"/>
      <c r="Z9" s="41"/>
      <c r="AA9" s="41"/>
    </row>
    <row r="10">
      <c r="A10" s="42" t="s">
        <v>24</v>
      </c>
      <c r="B10" s="43">
        <f t="shared" ref="B10:U10" si="3">IFERROR(B9/B7, 0)</f>
        <v>0.1076923077</v>
      </c>
      <c r="C10" s="43">
        <f t="shared" si="3"/>
        <v>0.06685236769</v>
      </c>
      <c r="D10" s="43">
        <f t="shared" si="3"/>
        <v>0.03521126761</v>
      </c>
      <c r="E10" s="43">
        <f t="shared" si="3"/>
        <v>0.01570680628</v>
      </c>
      <c r="F10" s="43">
        <f t="shared" si="3"/>
        <v>0.1672597865</v>
      </c>
      <c r="G10" s="43">
        <f t="shared" si="3"/>
        <v>0.1741935484</v>
      </c>
      <c r="H10" s="43">
        <f t="shared" si="3"/>
        <v>0.002702702703</v>
      </c>
      <c r="I10" s="43">
        <f t="shared" si="3"/>
        <v>0</v>
      </c>
      <c r="J10" s="43">
        <f t="shared" si="3"/>
        <v>0.1010830325</v>
      </c>
      <c r="K10" s="43">
        <f t="shared" si="3"/>
        <v>0.06382978723</v>
      </c>
      <c r="L10" s="43">
        <f t="shared" si="3"/>
        <v>0.0625</v>
      </c>
      <c r="M10" s="43">
        <f t="shared" si="3"/>
        <v>0.2837465565</v>
      </c>
      <c r="N10" s="43">
        <f t="shared" si="3"/>
        <v>0.05866666667</v>
      </c>
      <c r="O10" s="43">
        <f t="shared" si="3"/>
        <v>0.04</v>
      </c>
      <c r="P10" s="43">
        <f t="shared" si="3"/>
        <v>0.09958506224</v>
      </c>
      <c r="Q10" s="43">
        <f t="shared" si="3"/>
        <v>0.02678571429</v>
      </c>
      <c r="R10" s="43">
        <f t="shared" si="3"/>
        <v>0.2477477477</v>
      </c>
      <c r="S10" s="43">
        <f t="shared" si="3"/>
        <v>0.0905511811</v>
      </c>
      <c r="T10" s="43">
        <f t="shared" si="3"/>
        <v>0.1666666667</v>
      </c>
      <c r="U10" s="43">
        <f t="shared" si="3"/>
        <v>0.1624548736</v>
      </c>
      <c r="V10" s="45"/>
      <c r="W10" s="45"/>
      <c r="X10" s="45"/>
      <c r="Y10" s="45"/>
      <c r="Z10" s="45"/>
      <c r="AA10" s="45"/>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row>
    <row r="12">
      <c r="A12" s="48" t="s">
        <v>25</v>
      </c>
      <c r="B12" s="49">
        <v>5.0</v>
      </c>
      <c r="C12" s="50">
        <v>5.0</v>
      </c>
      <c r="D12" s="294">
        <v>5.0</v>
      </c>
      <c r="E12" s="50">
        <v>0.0</v>
      </c>
      <c r="F12" s="50">
        <v>8.0</v>
      </c>
      <c r="G12" s="50">
        <v>11.0</v>
      </c>
      <c r="H12" s="50">
        <v>32.0</v>
      </c>
      <c r="I12" s="50">
        <v>0.0</v>
      </c>
      <c r="J12" s="50">
        <v>35.0</v>
      </c>
      <c r="K12" s="50">
        <v>21.0</v>
      </c>
      <c r="L12" s="50">
        <v>42.0</v>
      </c>
      <c r="M12" s="50">
        <v>37.0</v>
      </c>
      <c r="N12" s="50">
        <v>13.0</v>
      </c>
      <c r="O12" s="50">
        <v>26.0</v>
      </c>
      <c r="P12" s="50">
        <v>0.0</v>
      </c>
      <c r="Q12" s="50">
        <v>24.0</v>
      </c>
      <c r="R12" s="50">
        <v>0.0</v>
      </c>
      <c r="S12" s="50">
        <v>21.0</v>
      </c>
      <c r="T12" s="51">
        <v>13.0</v>
      </c>
      <c r="U12" s="52">
        <v>7.0</v>
      </c>
      <c r="V12" s="50"/>
      <c r="W12" s="50"/>
      <c r="X12" s="50"/>
      <c r="Y12" s="50"/>
      <c r="Z12" s="50"/>
      <c r="AA12" s="50"/>
    </row>
    <row r="13">
      <c r="A13" s="53" t="s">
        <v>26</v>
      </c>
      <c r="B13" s="54">
        <v>5.0</v>
      </c>
      <c r="C13" s="55">
        <v>5.0</v>
      </c>
      <c r="D13" s="55">
        <v>5.0</v>
      </c>
      <c r="E13" s="55">
        <v>0.0</v>
      </c>
      <c r="F13" s="55">
        <v>8.0</v>
      </c>
      <c r="G13" s="55">
        <v>10.0</v>
      </c>
      <c r="H13" s="55">
        <v>40.0</v>
      </c>
      <c r="I13" s="55">
        <v>8.0</v>
      </c>
      <c r="J13" s="55">
        <v>32.0</v>
      </c>
      <c r="K13" s="55">
        <v>29.0</v>
      </c>
      <c r="L13" s="55">
        <v>21.0</v>
      </c>
      <c r="M13" s="55">
        <v>47.0</v>
      </c>
      <c r="N13" s="55">
        <v>26.0</v>
      </c>
      <c r="O13" s="55">
        <v>26.0</v>
      </c>
      <c r="P13" s="55">
        <v>0.0</v>
      </c>
      <c r="Q13" s="55">
        <v>24.0</v>
      </c>
      <c r="R13" s="55">
        <v>0.0</v>
      </c>
      <c r="S13" s="55">
        <v>24.0</v>
      </c>
      <c r="T13" s="56">
        <v>14.0</v>
      </c>
      <c r="U13" s="57">
        <v>18.0</v>
      </c>
      <c r="V13" s="55"/>
      <c r="W13" s="55"/>
      <c r="X13" s="55"/>
      <c r="Y13" s="55"/>
      <c r="Z13" s="55"/>
      <c r="AA13" s="55"/>
    </row>
    <row r="14">
      <c r="A14" s="58" t="s">
        <v>27</v>
      </c>
      <c r="B14" s="59">
        <v>0.0</v>
      </c>
      <c r="C14" s="60">
        <v>0.0</v>
      </c>
      <c r="D14" s="60">
        <v>0.0</v>
      </c>
      <c r="E14" s="60">
        <v>0.0</v>
      </c>
      <c r="F14" s="60">
        <v>0.0</v>
      </c>
      <c r="G14" s="60">
        <v>1.0</v>
      </c>
      <c r="H14" s="60">
        <v>0.0</v>
      </c>
      <c r="I14" s="60">
        <v>0.0</v>
      </c>
      <c r="J14" s="60">
        <v>3.0</v>
      </c>
      <c r="K14" s="60">
        <v>0.0</v>
      </c>
      <c r="L14" s="60">
        <v>21.0</v>
      </c>
      <c r="M14" s="60">
        <v>16.0</v>
      </c>
      <c r="N14" s="60">
        <v>0.0</v>
      </c>
      <c r="O14" s="60">
        <v>0.0</v>
      </c>
      <c r="P14" s="60">
        <v>8.0</v>
      </c>
      <c r="Q14" s="60">
        <v>0.0</v>
      </c>
      <c r="R14" s="60">
        <v>3.0</v>
      </c>
      <c r="S14" s="60">
        <v>0.0</v>
      </c>
      <c r="T14" s="61">
        <v>19.0</v>
      </c>
      <c r="U14" s="62">
        <v>2.0</v>
      </c>
      <c r="V14" s="60"/>
      <c r="W14" s="60"/>
      <c r="X14" s="60"/>
      <c r="Y14" s="60"/>
      <c r="Z14" s="60"/>
      <c r="AA14" s="60"/>
    </row>
    <row r="15">
      <c r="A15" s="56"/>
      <c r="B15" s="63"/>
      <c r="C15" s="56"/>
      <c r="D15" s="56"/>
      <c r="E15" s="56"/>
      <c r="F15" s="56"/>
      <c r="G15" s="56"/>
      <c r="H15" s="56"/>
      <c r="I15" s="56"/>
      <c r="J15" s="56"/>
      <c r="K15" s="56"/>
      <c r="L15" s="56"/>
      <c r="M15" s="56"/>
      <c r="N15" s="56"/>
      <c r="O15" s="56"/>
      <c r="P15" s="56"/>
      <c r="Q15" s="56"/>
      <c r="R15" s="56"/>
      <c r="S15" s="56"/>
      <c r="T15" s="56"/>
      <c r="U15" s="64"/>
      <c r="V15" s="56"/>
      <c r="W15" s="56"/>
      <c r="X15" s="56"/>
      <c r="Y15" s="56"/>
      <c r="Z15" s="56"/>
      <c r="AA15" s="56"/>
    </row>
    <row r="16">
      <c r="A16" s="65" t="s">
        <v>28</v>
      </c>
      <c r="B16" s="66">
        <v>0.0</v>
      </c>
      <c r="C16" s="65">
        <v>0.0</v>
      </c>
      <c r="D16" s="65">
        <v>0.0</v>
      </c>
      <c r="E16" s="65">
        <v>0.0</v>
      </c>
      <c r="F16" s="65">
        <v>0.0</v>
      </c>
      <c r="G16" s="65">
        <v>0.0</v>
      </c>
      <c r="H16" s="65">
        <v>0.0</v>
      </c>
      <c r="I16" s="65">
        <v>0.0</v>
      </c>
      <c r="J16" s="65">
        <v>0.0</v>
      </c>
      <c r="K16" s="65">
        <v>0.0</v>
      </c>
      <c r="L16" s="65">
        <v>0.0</v>
      </c>
      <c r="M16" s="65">
        <v>0.0</v>
      </c>
      <c r="N16" s="65">
        <v>0.0</v>
      </c>
      <c r="O16" s="65">
        <v>0.0</v>
      </c>
      <c r="P16" s="65">
        <v>0.0</v>
      </c>
      <c r="Q16" s="65">
        <v>0.0</v>
      </c>
      <c r="R16" s="65">
        <v>0.0</v>
      </c>
      <c r="S16" s="65">
        <v>0.0</v>
      </c>
      <c r="T16" s="67">
        <v>0.0</v>
      </c>
      <c r="U16" s="68">
        <v>0.0</v>
      </c>
      <c r="V16" s="65"/>
      <c r="W16" s="65"/>
      <c r="X16" s="65"/>
      <c r="Y16" s="65"/>
      <c r="Z16" s="65"/>
      <c r="AA16" s="65"/>
    </row>
    <row r="17">
      <c r="A17" s="65" t="s">
        <v>29</v>
      </c>
      <c r="B17" s="66">
        <v>0.0</v>
      </c>
      <c r="C17" s="65">
        <v>0.0</v>
      </c>
      <c r="D17" s="65">
        <v>0.0</v>
      </c>
      <c r="E17" s="65">
        <v>0.0</v>
      </c>
      <c r="F17" s="65">
        <v>0.0</v>
      </c>
      <c r="G17" s="65">
        <v>0.0</v>
      </c>
      <c r="H17" s="65">
        <v>0.0</v>
      </c>
      <c r="I17" s="65">
        <v>0.0</v>
      </c>
      <c r="J17" s="65">
        <v>0.0</v>
      </c>
      <c r="K17" s="65">
        <v>0.0</v>
      </c>
      <c r="L17" s="65">
        <v>0.0</v>
      </c>
      <c r="M17" s="65">
        <v>0.0</v>
      </c>
      <c r="N17" s="65">
        <v>0.0</v>
      </c>
      <c r="O17" s="65">
        <v>0.0</v>
      </c>
      <c r="P17" s="65">
        <v>0.0</v>
      </c>
      <c r="Q17" s="65">
        <v>0.0</v>
      </c>
      <c r="R17" s="65">
        <v>0.0</v>
      </c>
      <c r="S17" s="65">
        <v>0.0</v>
      </c>
      <c r="T17" s="67">
        <v>0.0</v>
      </c>
      <c r="U17" s="68">
        <v>0.0</v>
      </c>
      <c r="V17" s="65"/>
      <c r="W17" s="65"/>
      <c r="X17" s="65"/>
      <c r="Y17" s="65"/>
      <c r="Z17" s="65"/>
      <c r="AA17" s="65"/>
    </row>
    <row r="18">
      <c r="A18" s="69" t="s">
        <v>30</v>
      </c>
      <c r="B18" s="70">
        <f>B47-9</f>
        <v>133</v>
      </c>
      <c r="C18" s="70">
        <f t="shared" ref="C18:U18" si="4">C47</f>
        <v>149</v>
      </c>
      <c r="D18" s="70">
        <f t="shared" si="4"/>
        <v>135</v>
      </c>
      <c r="E18" s="70">
        <f t="shared" si="4"/>
        <v>144</v>
      </c>
      <c r="F18" s="70">
        <f t="shared" si="4"/>
        <v>156</v>
      </c>
      <c r="G18" s="70">
        <f t="shared" si="4"/>
        <v>120</v>
      </c>
      <c r="H18" s="70">
        <f t="shared" si="4"/>
        <v>114</v>
      </c>
      <c r="I18" s="70">
        <f t="shared" si="4"/>
        <v>140</v>
      </c>
      <c r="J18" s="70">
        <f t="shared" si="4"/>
        <v>80</v>
      </c>
      <c r="K18" s="70">
        <f t="shared" si="4"/>
        <v>115</v>
      </c>
      <c r="L18" s="70">
        <f t="shared" si="4"/>
        <v>106</v>
      </c>
      <c r="M18" s="70">
        <f t="shared" si="4"/>
        <v>94</v>
      </c>
      <c r="N18" s="70">
        <f t="shared" si="4"/>
        <v>67</v>
      </c>
      <c r="O18" s="70">
        <f t="shared" si="4"/>
        <v>81</v>
      </c>
      <c r="P18" s="70">
        <f t="shared" si="4"/>
        <v>48</v>
      </c>
      <c r="Q18" s="70">
        <f t="shared" si="4"/>
        <v>113</v>
      </c>
      <c r="R18" s="70">
        <f t="shared" si="4"/>
        <v>86</v>
      </c>
      <c r="S18" s="70">
        <f t="shared" si="4"/>
        <v>107</v>
      </c>
      <c r="T18" s="70">
        <f t="shared" si="4"/>
        <v>85</v>
      </c>
      <c r="U18" s="70">
        <f t="shared" si="4"/>
        <v>81</v>
      </c>
      <c r="V18" s="69"/>
      <c r="W18" s="69"/>
      <c r="X18" s="69"/>
      <c r="Y18" s="69"/>
      <c r="Z18" s="69"/>
      <c r="AA18" s="72"/>
      <c r="AB18" s="73"/>
      <c r="AC18" s="73"/>
      <c r="AD18" s="73"/>
      <c r="AE18" s="73"/>
      <c r="AF18" s="73"/>
      <c r="AG18" s="73"/>
      <c r="AH18" s="73"/>
      <c r="AI18" s="73"/>
      <c r="AJ18" s="73"/>
      <c r="AK18" s="73"/>
      <c r="AL18" s="73"/>
      <c r="AM18" s="73"/>
      <c r="AN18" s="73"/>
    </row>
    <row r="19">
      <c r="A19" s="74" t="s">
        <v>31</v>
      </c>
      <c r="B19" s="75">
        <f t="shared" ref="B19:U19" si="5">B47+B65</f>
        <v>365</v>
      </c>
      <c r="C19" s="75">
        <f t="shared" si="5"/>
        <v>336</v>
      </c>
      <c r="D19" s="75">
        <f t="shared" si="5"/>
        <v>266</v>
      </c>
      <c r="E19" s="75">
        <f t="shared" si="5"/>
        <v>346</v>
      </c>
      <c r="F19" s="75">
        <f t="shared" si="5"/>
        <v>266</v>
      </c>
      <c r="G19" s="75">
        <f t="shared" si="5"/>
        <v>277</v>
      </c>
      <c r="H19" s="75">
        <f t="shared" si="5"/>
        <v>313</v>
      </c>
      <c r="I19" s="75">
        <f t="shared" si="5"/>
        <v>237</v>
      </c>
      <c r="J19" s="75">
        <f t="shared" si="5"/>
        <v>223</v>
      </c>
      <c r="K19" s="75">
        <f t="shared" si="5"/>
        <v>256</v>
      </c>
      <c r="L19" s="75">
        <f t="shared" si="5"/>
        <v>271</v>
      </c>
      <c r="M19" s="75">
        <f t="shared" si="5"/>
        <v>304</v>
      </c>
      <c r="N19" s="75">
        <f t="shared" si="5"/>
        <v>308</v>
      </c>
      <c r="O19" s="75">
        <f t="shared" si="5"/>
        <v>197</v>
      </c>
      <c r="P19" s="75">
        <f t="shared" si="5"/>
        <v>148</v>
      </c>
      <c r="Q19" s="75">
        <f t="shared" si="5"/>
        <v>187</v>
      </c>
      <c r="R19" s="75">
        <f t="shared" si="5"/>
        <v>178</v>
      </c>
      <c r="S19" s="75">
        <f t="shared" si="5"/>
        <v>221</v>
      </c>
      <c r="T19" s="75">
        <f t="shared" si="5"/>
        <v>179</v>
      </c>
      <c r="U19" s="75">
        <f t="shared" si="5"/>
        <v>213</v>
      </c>
      <c r="V19" s="74"/>
      <c r="W19" s="74"/>
      <c r="X19" s="74"/>
      <c r="Y19" s="74"/>
      <c r="Z19" s="74"/>
      <c r="AA19" s="77"/>
      <c r="AB19" s="78"/>
      <c r="AC19" s="78"/>
      <c r="AD19" s="78"/>
      <c r="AE19" s="78"/>
      <c r="AF19" s="78"/>
      <c r="AG19" s="78"/>
      <c r="AH19" s="78"/>
      <c r="AI19" s="78"/>
      <c r="AJ19" s="78"/>
      <c r="AK19" s="78"/>
      <c r="AL19" s="78"/>
      <c r="AM19" s="78"/>
      <c r="AN19" s="78"/>
    </row>
    <row r="20">
      <c r="A20" s="69" t="s">
        <v>32</v>
      </c>
      <c r="B20" s="70">
        <v>0.0</v>
      </c>
      <c r="C20" s="69">
        <v>0.0</v>
      </c>
      <c r="D20" s="69">
        <v>0.0</v>
      </c>
      <c r="E20" s="69">
        <v>21.0</v>
      </c>
      <c r="F20" s="69">
        <v>0.0</v>
      </c>
      <c r="G20" s="69">
        <v>46.0</v>
      </c>
      <c r="H20" s="69">
        <v>0.0</v>
      </c>
      <c r="I20" s="69">
        <v>0.0</v>
      </c>
      <c r="J20" s="69">
        <v>0.0</v>
      </c>
      <c r="K20" s="69">
        <v>48.0</v>
      </c>
      <c r="L20" s="69">
        <v>1.0</v>
      </c>
      <c r="M20" s="69">
        <v>24.0</v>
      </c>
      <c r="N20" s="69">
        <v>13.0</v>
      </c>
      <c r="O20" s="69">
        <v>34.0</v>
      </c>
      <c r="P20" s="69">
        <v>0.0</v>
      </c>
      <c r="Q20" s="69">
        <v>8.0</v>
      </c>
      <c r="R20" s="69">
        <v>8.0</v>
      </c>
      <c r="S20" s="69">
        <v>49.0</v>
      </c>
      <c r="T20" s="69">
        <v>4.0</v>
      </c>
      <c r="U20" s="69">
        <v>1.0</v>
      </c>
      <c r="V20" s="69"/>
      <c r="W20" s="69"/>
      <c r="X20" s="69"/>
      <c r="Y20" s="69"/>
      <c r="Z20" s="69"/>
      <c r="AA20" s="72"/>
      <c r="AB20" s="73"/>
      <c r="AC20" s="73"/>
      <c r="AD20" s="73"/>
      <c r="AE20" s="73"/>
      <c r="AF20" s="73"/>
      <c r="AG20" s="73"/>
      <c r="AH20" s="73"/>
      <c r="AI20" s="73"/>
      <c r="AJ20" s="73"/>
      <c r="AK20" s="73"/>
      <c r="AL20" s="73"/>
      <c r="AM20" s="73"/>
      <c r="AN20" s="73"/>
    </row>
    <row r="21">
      <c r="A21" s="79" t="s">
        <v>33</v>
      </c>
      <c r="B21" s="80">
        <f t="shared" ref="B21:U21" si="6">B7-B19</f>
        <v>25</v>
      </c>
      <c r="C21" s="80">
        <f t="shared" si="6"/>
        <v>23</v>
      </c>
      <c r="D21" s="80">
        <f t="shared" si="6"/>
        <v>18</v>
      </c>
      <c r="E21" s="80">
        <f t="shared" si="6"/>
        <v>36</v>
      </c>
      <c r="F21" s="80">
        <f t="shared" si="6"/>
        <v>15</v>
      </c>
      <c r="G21" s="80">
        <f t="shared" si="6"/>
        <v>33</v>
      </c>
      <c r="H21" s="80">
        <f t="shared" si="6"/>
        <v>57</v>
      </c>
      <c r="I21" s="80">
        <f t="shared" si="6"/>
        <v>46</v>
      </c>
      <c r="J21" s="80">
        <f t="shared" si="6"/>
        <v>54</v>
      </c>
      <c r="K21" s="80">
        <f t="shared" si="6"/>
        <v>26</v>
      </c>
      <c r="L21" s="80">
        <f t="shared" si="6"/>
        <v>65</v>
      </c>
      <c r="M21" s="80">
        <f t="shared" si="6"/>
        <v>59</v>
      </c>
      <c r="N21" s="80">
        <f t="shared" si="6"/>
        <v>67</v>
      </c>
      <c r="O21" s="80">
        <f t="shared" si="6"/>
        <v>28</v>
      </c>
      <c r="P21" s="80">
        <f t="shared" si="6"/>
        <v>93</v>
      </c>
      <c r="Q21" s="80">
        <f t="shared" si="6"/>
        <v>37</v>
      </c>
      <c r="R21" s="80">
        <f t="shared" si="6"/>
        <v>44</v>
      </c>
      <c r="S21" s="80">
        <f t="shared" si="6"/>
        <v>33</v>
      </c>
      <c r="T21" s="80">
        <f t="shared" si="6"/>
        <v>49</v>
      </c>
      <c r="U21" s="80">
        <f t="shared" si="6"/>
        <v>64</v>
      </c>
      <c r="V21" s="79"/>
      <c r="W21" s="79"/>
      <c r="X21" s="79"/>
      <c r="Y21" s="79"/>
      <c r="Z21" s="79"/>
      <c r="AA21" s="79"/>
    </row>
    <row r="22">
      <c r="A22" s="82" t="s">
        <v>34</v>
      </c>
      <c r="B22" s="83">
        <f>B38-9</f>
        <v>158</v>
      </c>
      <c r="C22" s="83">
        <f t="shared" ref="C22:F22" si="7">C38-1</f>
        <v>150</v>
      </c>
      <c r="D22" s="83">
        <f t="shared" si="7"/>
        <v>129</v>
      </c>
      <c r="E22" s="83">
        <f t="shared" si="7"/>
        <v>181</v>
      </c>
      <c r="F22" s="83">
        <f t="shared" si="7"/>
        <v>165</v>
      </c>
      <c r="G22" s="83">
        <f>G38-19</f>
        <v>114</v>
      </c>
      <c r="H22" s="83">
        <f t="shared" ref="H22:J22" si="8">H38-6</f>
        <v>169</v>
      </c>
      <c r="I22" s="83">
        <f t="shared" si="8"/>
        <v>167</v>
      </c>
      <c r="J22" s="83">
        <f t="shared" si="8"/>
        <v>125</v>
      </c>
      <c r="K22" s="83">
        <f t="shared" ref="K22:L22" si="9">K38-15</f>
        <v>129</v>
      </c>
      <c r="L22" s="83">
        <f t="shared" si="9"/>
        <v>135</v>
      </c>
      <c r="M22" s="83">
        <f>M38-23</f>
        <v>106</v>
      </c>
      <c r="N22" s="83">
        <f>N38-8</f>
        <v>104</v>
      </c>
      <c r="O22" s="277">
        <f t="shared" ref="O22:S22" si="10">O38-0</f>
        <v>109</v>
      </c>
      <c r="P22" s="277">
        <f t="shared" si="10"/>
        <v>133</v>
      </c>
      <c r="Q22" s="277">
        <f t="shared" si="10"/>
        <v>144</v>
      </c>
      <c r="R22" s="277">
        <f t="shared" si="10"/>
        <v>109</v>
      </c>
      <c r="S22" s="277">
        <f t="shared" si="10"/>
        <v>127</v>
      </c>
      <c r="T22" s="277">
        <f t="shared" ref="T22:U22" si="11">T38-7</f>
        <v>97</v>
      </c>
      <c r="U22" s="277">
        <f t="shared" si="11"/>
        <v>135</v>
      </c>
      <c r="V22" s="85"/>
      <c r="W22" s="85"/>
      <c r="X22" s="85"/>
      <c r="Y22" s="85"/>
      <c r="Z22" s="85"/>
      <c r="AA22" s="87"/>
      <c r="AB22" s="87"/>
      <c r="AC22" s="88"/>
      <c r="AD22" s="88"/>
      <c r="AE22" s="88"/>
      <c r="AF22" s="88"/>
      <c r="AG22" s="88"/>
      <c r="AH22" s="88"/>
      <c r="AI22" s="88"/>
      <c r="AJ22" s="88"/>
      <c r="AK22" s="88"/>
      <c r="AL22" s="88"/>
      <c r="AM22" s="89"/>
      <c r="AN22" s="88"/>
    </row>
    <row r="23" ht="75.0" customHeight="1">
      <c r="A23" s="90" t="s">
        <v>35</v>
      </c>
      <c r="B23" s="295" t="s">
        <v>343</v>
      </c>
      <c r="C23" s="295" t="s">
        <v>344</v>
      </c>
      <c r="D23" s="296" t="s">
        <v>345</v>
      </c>
      <c r="E23" s="297" t="s">
        <v>346</v>
      </c>
      <c r="F23" s="297" t="s">
        <v>347</v>
      </c>
      <c r="G23" s="298" t="s">
        <v>348</v>
      </c>
      <c r="H23" s="295" t="s">
        <v>349</v>
      </c>
      <c r="I23" s="299" t="s">
        <v>350</v>
      </c>
      <c r="J23" s="295" t="s">
        <v>351</v>
      </c>
      <c r="K23" s="300" t="s">
        <v>352</v>
      </c>
      <c r="L23" s="295" t="s">
        <v>353</v>
      </c>
      <c r="M23" s="295" t="s">
        <v>354</v>
      </c>
      <c r="N23" s="295" t="s">
        <v>355</v>
      </c>
      <c r="O23" s="301" t="s">
        <v>356</v>
      </c>
      <c r="P23" s="302" t="s">
        <v>357</v>
      </c>
      <c r="Q23" s="303" t="s">
        <v>358</v>
      </c>
      <c r="R23" s="304" t="s">
        <v>359</v>
      </c>
      <c r="S23" s="305" t="s">
        <v>360</v>
      </c>
      <c r="T23" s="306" t="s">
        <v>361</v>
      </c>
      <c r="U23" s="307" t="s">
        <v>362</v>
      </c>
      <c r="V23" s="91"/>
      <c r="W23" s="91"/>
      <c r="X23" s="91"/>
      <c r="Y23" s="91"/>
      <c r="Z23" s="91"/>
      <c r="AA23" s="91"/>
      <c r="AB23" s="94"/>
      <c r="AC23" s="95"/>
      <c r="AD23" s="95"/>
      <c r="AE23" s="95"/>
      <c r="AF23" s="95"/>
      <c r="AG23" s="95"/>
      <c r="AH23" s="95"/>
      <c r="AI23" s="95"/>
      <c r="AJ23" s="95"/>
      <c r="AK23" s="95"/>
      <c r="AL23" s="95"/>
      <c r="AM23" s="95"/>
      <c r="AN23" s="95"/>
    </row>
    <row r="24">
      <c r="A24" s="96" t="s">
        <v>36</v>
      </c>
      <c r="B24" s="97">
        <v>0.0</v>
      </c>
      <c r="C24" s="97">
        <v>1.0</v>
      </c>
      <c r="D24" s="98">
        <v>0.0</v>
      </c>
      <c r="E24" s="97">
        <v>1.0</v>
      </c>
      <c r="F24" s="97">
        <v>1.0</v>
      </c>
      <c r="G24" s="97">
        <v>1.0</v>
      </c>
      <c r="H24" s="97">
        <v>1.0</v>
      </c>
      <c r="I24" s="97">
        <v>1.0</v>
      </c>
      <c r="J24" s="98">
        <v>0.0</v>
      </c>
      <c r="K24" s="97">
        <v>1.0</v>
      </c>
      <c r="L24" s="97">
        <v>1.0</v>
      </c>
      <c r="M24" s="97">
        <v>1.0</v>
      </c>
      <c r="N24" s="98">
        <v>0.0</v>
      </c>
      <c r="O24" s="97">
        <v>1.0</v>
      </c>
      <c r="P24" s="98">
        <v>0.0</v>
      </c>
      <c r="Q24" s="97">
        <v>1.0</v>
      </c>
      <c r="R24" s="97">
        <v>1.0</v>
      </c>
      <c r="S24" s="97">
        <v>1.0</v>
      </c>
      <c r="T24" s="97">
        <v>1.0</v>
      </c>
      <c r="U24" s="98">
        <v>0.0</v>
      </c>
      <c r="V24" s="98">
        <v>0.0</v>
      </c>
      <c r="W24" s="98">
        <v>0.0</v>
      </c>
      <c r="X24" s="98">
        <v>0.0</v>
      </c>
      <c r="Y24" s="98">
        <v>0.0</v>
      </c>
      <c r="Z24" s="98">
        <v>0.0</v>
      </c>
      <c r="AA24" s="98">
        <v>0.0</v>
      </c>
      <c r="AB24" s="99"/>
      <c r="AC24" s="100"/>
      <c r="AD24" s="100"/>
      <c r="AE24" s="100"/>
      <c r="AF24" s="100"/>
      <c r="AG24" s="100"/>
      <c r="AH24" s="100"/>
      <c r="AI24" s="100"/>
      <c r="AJ24" s="100"/>
      <c r="AK24" s="100"/>
      <c r="AL24" s="100"/>
      <c r="AM24" s="100"/>
      <c r="AN24" s="100"/>
    </row>
    <row r="25">
      <c r="A25" s="101" t="s">
        <v>37</v>
      </c>
      <c r="B25" s="102">
        <f t="shared" ref="B25:U25" si="12">IFERROR(B19/B8, 0)</f>
        <v>1.048850575</v>
      </c>
      <c r="C25" s="102">
        <f t="shared" si="12"/>
        <v>1.002985075</v>
      </c>
      <c r="D25" s="102">
        <f t="shared" si="12"/>
        <v>0.9708029197</v>
      </c>
      <c r="E25" s="102">
        <f t="shared" si="12"/>
        <v>0.920212766</v>
      </c>
      <c r="F25" s="102">
        <f t="shared" si="12"/>
        <v>1.136752137</v>
      </c>
      <c r="G25" s="102">
        <f t="shared" si="12"/>
        <v>1.08203125</v>
      </c>
      <c r="H25" s="102">
        <f t="shared" si="12"/>
        <v>0.8482384824</v>
      </c>
      <c r="I25" s="102">
        <f t="shared" si="12"/>
        <v>0.8374558304</v>
      </c>
      <c r="J25" s="102">
        <f t="shared" si="12"/>
        <v>0.8955823293</v>
      </c>
      <c r="K25" s="102">
        <f t="shared" si="12"/>
        <v>0.9696969697</v>
      </c>
      <c r="L25" s="102">
        <f t="shared" si="12"/>
        <v>0.8603174603</v>
      </c>
      <c r="M25" s="102">
        <f t="shared" si="12"/>
        <v>1.169230769</v>
      </c>
      <c r="N25" s="102">
        <f t="shared" si="12"/>
        <v>0.8725212465</v>
      </c>
      <c r="O25" s="102">
        <f t="shared" si="12"/>
        <v>0.912037037</v>
      </c>
      <c r="P25" s="102">
        <f t="shared" si="12"/>
        <v>0.6820276498</v>
      </c>
      <c r="Q25" s="102">
        <f t="shared" si="12"/>
        <v>0.8577981651</v>
      </c>
      <c r="R25" s="102">
        <f t="shared" si="12"/>
        <v>1.065868263</v>
      </c>
      <c r="S25" s="102">
        <f t="shared" si="12"/>
        <v>0.9567099567</v>
      </c>
      <c r="T25" s="102">
        <f t="shared" si="12"/>
        <v>0.9421052632</v>
      </c>
      <c r="U25" s="102">
        <f t="shared" si="12"/>
        <v>0.9181034483</v>
      </c>
      <c r="V25" s="103"/>
      <c r="W25" s="103"/>
      <c r="X25" s="103"/>
      <c r="Y25" s="103"/>
      <c r="Z25" s="103"/>
      <c r="AA25" s="103"/>
    </row>
    <row r="26">
      <c r="A26" s="105" t="s">
        <v>38</v>
      </c>
      <c r="B26" s="106">
        <f t="shared" ref="B26:U26" si="13">IFERROR(B12/B18, 0)</f>
        <v>0.03759398496</v>
      </c>
      <c r="C26" s="106">
        <f t="shared" si="13"/>
        <v>0.03355704698</v>
      </c>
      <c r="D26" s="106">
        <f t="shared" si="13"/>
        <v>0.03703703704</v>
      </c>
      <c r="E26" s="106">
        <f t="shared" si="13"/>
        <v>0</v>
      </c>
      <c r="F26" s="106">
        <f t="shared" si="13"/>
        <v>0.05128205128</v>
      </c>
      <c r="G26" s="106">
        <f t="shared" si="13"/>
        <v>0.09166666667</v>
      </c>
      <c r="H26" s="106">
        <f t="shared" si="13"/>
        <v>0.2807017544</v>
      </c>
      <c r="I26" s="106">
        <f t="shared" si="13"/>
        <v>0</v>
      </c>
      <c r="J26" s="106">
        <f t="shared" si="13"/>
        <v>0.4375</v>
      </c>
      <c r="K26" s="106">
        <f t="shared" si="13"/>
        <v>0.1826086957</v>
      </c>
      <c r="L26" s="106">
        <f t="shared" si="13"/>
        <v>0.3962264151</v>
      </c>
      <c r="M26" s="106">
        <f t="shared" si="13"/>
        <v>0.3936170213</v>
      </c>
      <c r="N26" s="106">
        <f t="shared" si="13"/>
        <v>0.1940298507</v>
      </c>
      <c r="O26" s="106">
        <f t="shared" si="13"/>
        <v>0.3209876543</v>
      </c>
      <c r="P26" s="106">
        <f t="shared" si="13"/>
        <v>0</v>
      </c>
      <c r="Q26" s="106">
        <f t="shared" si="13"/>
        <v>0.2123893805</v>
      </c>
      <c r="R26" s="106">
        <f t="shared" si="13"/>
        <v>0</v>
      </c>
      <c r="S26" s="106">
        <f t="shared" si="13"/>
        <v>0.1962616822</v>
      </c>
      <c r="T26" s="106">
        <f t="shared" si="13"/>
        <v>0.1529411765</v>
      </c>
      <c r="U26" s="106">
        <f t="shared" si="13"/>
        <v>0.08641975309</v>
      </c>
      <c r="V26" s="107"/>
      <c r="W26" s="107"/>
      <c r="X26" s="107"/>
      <c r="Y26" s="107"/>
      <c r="Z26" s="107"/>
      <c r="AA26" s="107"/>
    </row>
    <row r="27">
      <c r="A27" s="109" t="s">
        <v>39</v>
      </c>
      <c r="B27" s="110">
        <f t="shared" ref="B27:U27" si="14">IFERROR(B20/B18, 0)</f>
        <v>0</v>
      </c>
      <c r="C27" s="110">
        <f t="shared" si="14"/>
        <v>0</v>
      </c>
      <c r="D27" s="110">
        <f t="shared" si="14"/>
        <v>0</v>
      </c>
      <c r="E27" s="110">
        <f t="shared" si="14"/>
        <v>0.1458333333</v>
      </c>
      <c r="F27" s="110">
        <f t="shared" si="14"/>
        <v>0</v>
      </c>
      <c r="G27" s="110">
        <f t="shared" si="14"/>
        <v>0.3833333333</v>
      </c>
      <c r="H27" s="110">
        <f t="shared" si="14"/>
        <v>0</v>
      </c>
      <c r="I27" s="110">
        <f t="shared" si="14"/>
        <v>0</v>
      </c>
      <c r="J27" s="110">
        <f t="shared" si="14"/>
        <v>0</v>
      </c>
      <c r="K27" s="110">
        <f t="shared" si="14"/>
        <v>0.4173913043</v>
      </c>
      <c r="L27" s="110">
        <f t="shared" si="14"/>
        <v>0.009433962264</v>
      </c>
      <c r="M27" s="110">
        <f t="shared" si="14"/>
        <v>0.2553191489</v>
      </c>
      <c r="N27" s="110">
        <f t="shared" si="14"/>
        <v>0.1940298507</v>
      </c>
      <c r="O27" s="110">
        <f t="shared" si="14"/>
        <v>0.4197530864</v>
      </c>
      <c r="P27" s="110">
        <f t="shared" si="14"/>
        <v>0</v>
      </c>
      <c r="Q27" s="110">
        <f t="shared" si="14"/>
        <v>0.07079646018</v>
      </c>
      <c r="R27" s="110">
        <f t="shared" si="14"/>
        <v>0.09302325581</v>
      </c>
      <c r="S27" s="110">
        <f t="shared" si="14"/>
        <v>0.4579439252</v>
      </c>
      <c r="T27" s="110">
        <f t="shared" si="14"/>
        <v>0.04705882353</v>
      </c>
      <c r="U27" s="110">
        <f t="shared" si="14"/>
        <v>0.01234567901</v>
      </c>
      <c r="V27" s="110"/>
      <c r="W27" s="110"/>
      <c r="X27" s="110"/>
      <c r="Y27" s="110"/>
      <c r="Z27" s="110"/>
      <c r="AA27" s="110"/>
      <c r="AB27" s="112"/>
      <c r="AC27" s="113"/>
      <c r="AD27" s="113"/>
      <c r="AE27" s="113"/>
      <c r="AF27" s="113"/>
      <c r="AG27" s="113"/>
      <c r="AH27" s="113"/>
      <c r="AI27" s="113"/>
      <c r="AJ27" s="113"/>
      <c r="AK27" s="113"/>
      <c r="AL27" s="113"/>
      <c r="AM27" s="113"/>
      <c r="AN27" s="113"/>
    </row>
    <row r="28">
      <c r="A28" s="114" t="s">
        <v>40</v>
      </c>
      <c r="B28" s="115">
        <f t="shared" ref="B28:U28" si="15">B22/B8</f>
        <v>0.4540229885</v>
      </c>
      <c r="C28" s="115">
        <f t="shared" si="15"/>
        <v>0.447761194</v>
      </c>
      <c r="D28" s="115">
        <f t="shared" si="15"/>
        <v>0.4708029197</v>
      </c>
      <c r="E28" s="115">
        <f t="shared" si="15"/>
        <v>0.4813829787</v>
      </c>
      <c r="F28" s="115">
        <f t="shared" si="15"/>
        <v>0.7051282051</v>
      </c>
      <c r="G28" s="115">
        <f t="shared" si="15"/>
        <v>0.4453125</v>
      </c>
      <c r="H28" s="115">
        <f t="shared" si="15"/>
        <v>0.4579945799</v>
      </c>
      <c r="I28" s="115">
        <f t="shared" si="15"/>
        <v>0.5901060071</v>
      </c>
      <c r="J28" s="115">
        <f t="shared" si="15"/>
        <v>0.5020080321</v>
      </c>
      <c r="K28" s="115">
        <f t="shared" si="15"/>
        <v>0.4886363636</v>
      </c>
      <c r="L28" s="115">
        <f t="shared" si="15"/>
        <v>0.4285714286</v>
      </c>
      <c r="M28" s="115">
        <f t="shared" si="15"/>
        <v>0.4076923077</v>
      </c>
      <c r="N28" s="115">
        <f t="shared" si="15"/>
        <v>0.2946175637</v>
      </c>
      <c r="O28" s="115">
        <f t="shared" si="15"/>
        <v>0.5046296296</v>
      </c>
      <c r="P28" s="115">
        <f t="shared" si="15"/>
        <v>0.6129032258</v>
      </c>
      <c r="Q28" s="115">
        <f t="shared" si="15"/>
        <v>0.6605504587</v>
      </c>
      <c r="R28" s="115">
        <f t="shared" si="15"/>
        <v>0.6526946108</v>
      </c>
      <c r="S28" s="115">
        <f t="shared" si="15"/>
        <v>0.5497835498</v>
      </c>
      <c r="T28" s="115">
        <f t="shared" si="15"/>
        <v>0.5105263158</v>
      </c>
      <c r="U28" s="115">
        <f t="shared" si="15"/>
        <v>0.5818965517</v>
      </c>
      <c r="V28" s="115"/>
      <c r="W28" s="115"/>
      <c r="X28" s="115"/>
      <c r="Y28" s="115"/>
      <c r="Z28" s="115"/>
      <c r="AA28" s="115"/>
      <c r="AB28" s="112"/>
      <c r="AC28" s="113"/>
      <c r="AD28" s="113"/>
      <c r="AE28" s="113"/>
      <c r="AF28" s="113"/>
      <c r="AG28" s="113"/>
      <c r="AH28" s="113"/>
      <c r="AI28" s="113"/>
      <c r="AJ28" s="113"/>
      <c r="AK28" s="113"/>
      <c r="AL28" s="113"/>
      <c r="AM28" s="113"/>
      <c r="AN28" s="113"/>
    </row>
    <row r="29">
      <c r="A29" s="117" t="s">
        <v>41</v>
      </c>
      <c r="B29" s="308">
        <f t="shared" ref="B29:U29" si="16">(B13+B14)/B7</f>
        <v>0.01282051282</v>
      </c>
      <c r="C29" s="308">
        <f t="shared" si="16"/>
        <v>0.0139275766</v>
      </c>
      <c r="D29" s="308">
        <f t="shared" si="16"/>
        <v>0.0176056338</v>
      </c>
      <c r="E29" s="308">
        <f t="shared" si="16"/>
        <v>0</v>
      </c>
      <c r="F29" s="308">
        <f t="shared" si="16"/>
        <v>0.02846975089</v>
      </c>
      <c r="G29" s="308">
        <f t="shared" si="16"/>
        <v>0.03548387097</v>
      </c>
      <c r="H29" s="308">
        <f t="shared" si="16"/>
        <v>0.1081081081</v>
      </c>
      <c r="I29" s="308">
        <f t="shared" si="16"/>
        <v>0.02826855124</v>
      </c>
      <c r="J29" s="308">
        <f t="shared" si="16"/>
        <v>0.1263537906</v>
      </c>
      <c r="K29" s="308">
        <f t="shared" si="16"/>
        <v>0.1028368794</v>
      </c>
      <c r="L29" s="308">
        <f t="shared" si="16"/>
        <v>0.125</v>
      </c>
      <c r="M29" s="308">
        <f t="shared" si="16"/>
        <v>0.173553719</v>
      </c>
      <c r="N29" s="308">
        <f t="shared" si="16"/>
        <v>0.06933333333</v>
      </c>
      <c r="O29" s="308">
        <f t="shared" si="16"/>
        <v>0.1155555556</v>
      </c>
      <c r="P29" s="308">
        <f t="shared" si="16"/>
        <v>0.03319502075</v>
      </c>
      <c r="Q29" s="308">
        <f t="shared" si="16"/>
        <v>0.1071428571</v>
      </c>
      <c r="R29" s="308">
        <f t="shared" si="16"/>
        <v>0.01351351351</v>
      </c>
      <c r="S29" s="308">
        <f t="shared" si="16"/>
        <v>0.09448818898</v>
      </c>
      <c r="T29" s="308">
        <f t="shared" si="16"/>
        <v>0.1447368421</v>
      </c>
      <c r="U29" s="308">
        <f t="shared" si="16"/>
        <v>0.07220216606</v>
      </c>
      <c r="V29" s="119"/>
      <c r="W29" s="119"/>
      <c r="X29" s="119"/>
      <c r="Y29" s="119"/>
      <c r="Z29" s="119"/>
      <c r="AA29" s="119"/>
      <c r="AB29" s="121"/>
      <c r="AC29" s="121"/>
      <c r="AD29" s="121"/>
      <c r="AE29" s="121"/>
      <c r="AF29" s="121"/>
      <c r="AG29" s="99"/>
      <c r="AH29" s="99"/>
      <c r="AI29" s="99"/>
      <c r="AJ29" s="99"/>
      <c r="AK29" s="99"/>
      <c r="AL29" s="99"/>
      <c r="AM29" s="99"/>
      <c r="AN29" s="99"/>
    </row>
    <row r="30">
      <c r="A30" s="184" t="s">
        <v>141</v>
      </c>
      <c r="B30" s="185">
        <f t="shared" ref="B30:AA30" si="17">B36/B8</f>
        <v>0</v>
      </c>
      <c r="C30" s="185">
        <f t="shared" si="17"/>
        <v>0</v>
      </c>
      <c r="D30" s="185">
        <f t="shared" si="17"/>
        <v>0</v>
      </c>
      <c r="E30" s="185">
        <f t="shared" si="17"/>
        <v>0</v>
      </c>
      <c r="F30" s="185">
        <f t="shared" si="17"/>
        <v>0</v>
      </c>
      <c r="G30" s="185">
        <f t="shared" si="17"/>
        <v>0</v>
      </c>
      <c r="H30" s="185">
        <f t="shared" si="17"/>
        <v>0</v>
      </c>
      <c r="I30" s="185">
        <f t="shared" si="17"/>
        <v>0</v>
      </c>
      <c r="J30" s="185">
        <f t="shared" si="17"/>
        <v>0</v>
      </c>
      <c r="K30" s="185">
        <f t="shared" si="17"/>
        <v>0</v>
      </c>
      <c r="L30" s="185">
        <f t="shared" si="17"/>
        <v>0</v>
      </c>
      <c r="M30" s="185">
        <f t="shared" si="17"/>
        <v>0</v>
      </c>
      <c r="N30" s="185">
        <f t="shared" si="17"/>
        <v>0</v>
      </c>
      <c r="O30" s="185">
        <f t="shared" si="17"/>
        <v>0</v>
      </c>
      <c r="P30" s="185">
        <f t="shared" si="17"/>
        <v>0</v>
      </c>
      <c r="Q30" s="185">
        <f t="shared" si="17"/>
        <v>0</v>
      </c>
      <c r="R30" s="185">
        <f t="shared" si="17"/>
        <v>0</v>
      </c>
      <c r="S30" s="185">
        <f t="shared" si="17"/>
        <v>0</v>
      </c>
      <c r="T30" s="185">
        <f t="shared" si="17"/>
        <v>0</v>
      </c>
      <c r="U30" s="185">
        <f t="shared" si="17"/>
        <v>0.2155172414</v>
      </c>
      <c r="V30" s="185" t="str">
        <f t="shared" si="17"/>
        <v>#DIV/0!</v>
      </c>
      <c r="W30" s="185" t="str">
        <f t="shared" si="17"/>
        <v>#DIV/0!</v>
      </c>
      <c r="X30" s="185" t="str">
        <f t="shared" si="17"/>
        <v>#DIV/0!</v>
      </c>
      <c r="Y30" s="185" t="str">
        <f t="shared" si="17"/>
        <v>#DIV/0!</v>
      </c>
      <c r="Z30" s="185" t="str">
        <f t="shared" si="17"/>
        <v>#DIV/0!</v>
      </c>
      <c r="AA30" s="185" t="str">
        <f t="shared" si="17"/>
        <v>#DIV/0!</v>
      </c>
      <c r="AB30" s="240"/>
      <c r="AC30" s="186"/>
      <c r="AD30" s="186"/>
      <c r="AE30" s="186"/>
      <c r="AF30" s="186"/>
      <c r="AG30" s="186"/>
      <c r="AH30" s="186"/>
      <c r="AI30" s="186"/>
      <c r="AJ30" s="186"/>
      <c r="AK30" s="186"/>
      <c r="AL30" s="186"/>
      <c r="AM30" s="186"/>
      <c r="AN30" s="186"/>
    </row>
    <row r="31">
      <c r="A31" s="96" t="s">
        <v>42</v>
      </c>
      <c r="B31" s="97">
        <f t="shared" ref="B31:U31" si="18">B35/B8</f>
        <v>0.2931034483</v>
      </c>
      <c r="C31" s="97">
        <f t="shared" si="18"/>
        <v>0.4298507463</v>
      </c>
      <c r="D31" s="97">
        <f t="shared" si="18"/>
        <v>0.3430656934</v>
      </c>
      <c r="E31" s="97">
        <f t="shared" si="18"/>
        <v>0.3829787234</v>
      </c>
      <c r="F31" s="97">
        <f t="shared" si="18"/>
        <v>0.3034188034</v>
      </c>
      <c r="G31" s="97">
        <f t="shared" si="18"/>
        <v>0.31640625</v>
      </c>
      <c r="H31" s="97">
        <f t="shared" si="18"/>
        <v>0.3550135501</v>
      </c>
      <c r="I31" s="97">
        <f t="shared" si="18"/>
        <v>0.480565371</v>
      </c>
      <c r="J31" s="97">
        <f t="shared" si="18"/>
        <v>0.3373493976</v>
      </c>
      <c r="K31" s="97">
        <f t="shared" si="18"/>
        <v>0.3674242424</v>
      </c>
      <c r="L31" s="97">
        <f t="shared" si="18"/>
        <v>0.4571428571</v>
      </c>
      <c r="M31" s="97">
        <f t="shared" si="18"/>
        <v>0.4538461538</v>
      </c>
      <c r="N31" s="97">
        <f t="shared" si="18"/>
        <v>0.3711048159</v>
      </c>
      <c r="O31" s="97">
        <f t="shared" si="18"/>
        <v>0.412037037</v>
      </c>
      <c r="P31" s="97">
        <f t="shared" si="18"/>
        <v>0.3963133641</v>
      </c>
      <c r="Q31" s="97">
        <f t="shared" si="18"/>
        <v>0.3119266055</v>
      </c>
      <c r="R31" s="97">
        <f t="shared" si="18"/>
        <v>0.3053892216</v>
      </c>
      <c r="S31" s="97">
        <f t="shared" si="18"/>
        <v>0.3073593074</v>
      </c>
      <c r="T31" s="97">
        <f t="shared" si="18"/>
        <v>0.3052631579</v>
      </c>
      <c r="U31" s="97">
        <f t="shared" si="18"/>
        <v>0.3060344828</v>
      </c>
      <c r="V31" s="98">
        <v>0.0</v>
      </c>
      <c r="W31" s="98">
        <v>0.0</v>
      </c>
      <c r="X31" s="98">
        <v>0.0</v>
      </c>
      <c r="Y31" s="98">
        <v>0.0</v>
      </c>
      <c r="Z31" s="98">
        <v>0.0</v>
      </c>
      <c r="AA31" s="98">
        <v>0.0</v>
      </c>
      <c r="AB31" s="122"/>
      <c r="AC31" s="121"/>
      <c r="AD31" s="121"/>
      <c r="AE31" s="121"/>
      <c r="AF31" s="121"/>
      <c r="AG31" s="99"/>
      <c r="AH31" s="99"/>
      <c r="AI31" s="99"/>
      <c r="AJ31" s="99"/>
      <c r="AK31" s="99"/>
      <c r="AL31" s="99"/>
      <c r="AM31" s="99"/>
      <c r="AN31" s="99"/>
    </row>
    <row r="32">
      <c r="A32" s="123" t="s">
        <v>43</v>
      </c>
      <c r="B32" s="97">
        <v>1.0</v>
      </c>
      <c r="C32" s="97">
        <v>1.0</v>
      </c>
      <c r="D32" s="97">
        <v>1.0</v>
      </c>
      <c r="E32" s="97">
        <v>1.0</v>
      </c>
      <c r="F32" s="97">
        <v>1.0</v>
      </c>
      <c r="G32" s="97">
        <v>1.0</v>
      </c>
      <c r="H32" s="97">
        <v>1.0</v>
      </c>
      <c r="I32" s="97">
        <v>1.0</v>
      </c>
      <c r="J32" s="97">
        <v>1.0</v>
      </c>
      <c r="K32" s="97">
        <v>1.0</v>
      </c>
      <c r="L32" s="97">
        <v>1.0</v>
      </c>
      <c r="M32" s="97">
        <v>1.0</v>
      </c>
      <c r="N32" s="97">
        <v>1.0</v>
      </c>
      <c r="O32" s="97">
        <v>1.0</v>
      </c>
      <c r="P32" s="97">
        <v>1.0</v>
      </c>
      <c r="Q32" s="97">
        <v>1.0</v>
      </c>
      <c r="R32" s="97">
        <v>1.0</v>
      </c>
      <c r="S32" s="97">
        <v>1.0</v>
      </c>
      <c r="T32" s="97">
        <v>1.0</v>
      </c>
      <c r="U32" s="97">
        <v>1.0</v>
      </c>
      <c r="V32" s="97">
        <v>0.0</v>
      </c>
      <c r="W32" s="97">
        <v>0.0</v>
      </c>
      <c r="X32" s="97">
        <v>0.0</v>
      </c>
      <c r="Y32" s="97">
        <v>0.0</v>
      </c>
      <c r="Z32" s="97">
        <v>0.0</v>
      </c>
      <c r="AA32" s="97">
        <v>0.0</v>
      </c>
      <c r="AB32" s="124"/>
      <c r="AC32" s="121"/>
      <c r="AD32" s="121"/>
      <c r="AE32" s="121"/>
      <c r="AF32" s="121"/>
      <c r="AG32" s="99"/>
      <c r="AH32" s="99"/>
      <c r="AI32" s="99"/>
      <c r="AJ32" s="99"/>
      <c r="AK32" s="99"/>
      <c r="AL32" s="99"/>
      <c r="AM32" s="99"/>
      <c r="AN32" s="99"/>
    </row>
    <row r="33">
      <c r="A33" s="96" t="s">
        <v>44</v>
      </c>
      <c r="B33" s="125">
        <f t="shared" ref="B33:AA33" si="19">(B24*0.7) + (IF(B31 &gt;= 30%, 1, 0)*0.15) + (B32*0.15)</f>
        <v>0.15</v>
      </c>
      <c r="C33" s="125">
        <f t="shared" si="19"/>
        <v>1</v>
      </c>
      <c r="D33" s="125">
        <f t="shared" si="19"/>
        <v>0.3</v>
      </c>
      <c r="E33" s="125">
        <f t="shared" si="19"/>
        <v>1</v>
      </c>
      <c r="F33" s="125">
        <f t="shared" si="19"/>
        <v>1</v>
      </c>
      <c r="G33" s="125">
        <f t="shared" si="19"/>
        <v>1</v>
      </c>
      <c r="H33" s="125">
        <f t="shared" si="19"/>
        <v>1</v>
      </c>
      <c r="I33" s="125">
        <f t="shared" si="19"/>
        <v>1</v>
      </c>
      <c r="J33" s="125">
        <f t="shared" si="19"/>
        <v>0.3</v>
      </c>
      <c r="K33" s="125">
        <f t="shared" si="19"/>
        <v>1</v>
      </c>
      <c r="L33" s="125">
        <f t="shared" si="19"/>
        <v>1</v>
      </c>
      <c r="M33" s="125">
        <f t="shared" si="19"/>
        <v>1</v>
      </c>
      <c r="N33" s="125">
        <f t="shared" si="19"/>
        <v>0.3</v>
      </c>
      <c r="O33" s="125">
        <f t="shared" si="19"/>
        <v>1</v>
      </c>
      <c r="P33" s="125">
        <f t="shared" si="19"/>
        <v>0.3</v>
      </c>
      <c r="Q33" s="125">
        <f t="shared" si="19"/>
        <v>1</v>
      </c>
      <c r="R33" s="125">
        <f t="shared" si="19"/>
        <v>1</v>
      </c>
      <c r="S33" s="125">
        <f t="shared" si="19"/>
        <v>1</v>
      </c>
      <c r="T33" s="125">
        <f t="shared" si="19"/>
        <v>1</v>
      </c>
      <c r="U33" s="125">
        <f t="shared" si="19"/>
        <v>0.3</v>
      </c>
      <c r="V33" s="125">
        <f t="shared" si="19"/>
        <v>0</v>
      </c>
      <c r="W33" s="125">
        <f t="shared" si="19"/>
        <v>0</v>
      </c>
      <c r="X33" s="125">
        <f t="shared" si="19"/>
        <v>0</v>
      </c>
      <c r="Y33" s="125">
        <f t="shared" si="19"/>
        <v>0</v>
      </c>
      <c r="Z33" s="125">
        <f t="shared" si="19"/>
        <v>0</v>
      </c>
      <c r="AA33" s="125">
        <f t="shared" si="19"/>
        <v>0</v>
      </c>
    </row>
    <row r="34">
      <c r="A34" s="193" t="s">
        <v>142</v>
      </c>
      <c r="B34" s="125"/>
      <c r="C34" s="125"/>
      <c r="D34" s="125"/>
      <c r="E34" s="125"/>
      <c r="F34" s="125"/>
      <c r="G34" s="125"/>
      <c r="H34" s="125"/>
      <c r="I34" s="125"/>
      <c r="J34" s="125"/>
      <c r="K34" s="125"/>
      <c r="L34" s="125"/>
      <c r="M34" s="125"/>
      <c r="N34" s="125"/>
      <c r="O34" s="125">
        <v>1.0</v>
      </c>
      <c r="P34" s="125">
        <v>0.3</v>
      </c>
      <c r="Q34" s="125">
        <v>1.0</v>
      </c>
      <c r="R34" s="125">
        <v>1.0</v>
      </c>
      <c r="S34" s="125">
        <v>1.0</v>
      </c>
      <c r="T34" s="125">
        <v>1.0</v>
      </c>
      <c r="U34" s="125"/>
      <c r="V34" s="125"/>
      <c r="W34" s="125"/>
      <c r="X34" s="125"/>
      <c r="Y34" s="125"/>
      <c r="Z34" s="125"/>
      <c r="AA34" s="125"/>
    </row>
    <row r="35">
      <c r="A35" s="309" t="s">
        <v>363</v>
      </c>
      <c r="B35" s="137">
        <v>102.0</v>
      </c>
      <c r="C35" s="310">
        <v>144.0</v>
      </c>
      <c r="D35" s="310">
        <v>94.0</v>
      </c>
      <c r="E35" s="310">
        <v>144.0</v>
      </c>
      <c r="F35" s="310">
        <v>71.0</v>
      </c>
      <c r="G35" s="310">
        <v>81.0</v>
      </c>
      <c r="H35" s="310">
        <v>131.0</v>
      </c>
      <c r="I35" s="310">
        <v>136.0</v>
      </c>
      <c r="J35" s="310">
        <v>84.0</v>
      </c>
      <c r="K35" s="310">
        <v>97.0</v>
      </c>
      <c r="L35" s="310">
        <v>144.0</v>
      </c>
      <c r="M35" s="310">
        <v>118.0</v>
      </c>
      <c r="N35" s="310">
        <v>131.0</v>
      </c>
      <c r="O35" s="310">
        <v>89.0</v>
      </c>
      <c r="P35" s="310">
        <v>86.0</v>
      </c>
      <c r="Q35" s="310">
        <v>68.0</v>
      </c>
      <c r="R35" s="310">
        <v>51.0</v>
      </c>
      <c r="S35" s="310">
        <v>71.0</v>
      </c>
      <c r="T35" s="310">
        <v>58.0</v>
      </c>
      <c r="U35" s="311">
        <v>71.0</v>
      </c>
      <c r="V35" s="312"/>
      <c r="W35" s="312"/>
      <c r="X35" s="312"/>
      <c r="Y35" s="312"/>
      <c r="Z35" s="312"/>
      <c r="AA35" s="312"/>
      <c r="AB35" s="312"/>
      <c r="AC35" s="312"/>
      <c r="AD35" s="312"/>
      <c r="AE35" s="312"/>
      <c r="AF35" s="312"/>
      <c r="AG35" s="312"/>
      <c r="AH35" s="312"/>
      <c r="AI35" s="312"/>
      <c r="AJ35" s="312"/>
      <c r="AK35" s="312"/>
      <c r="AL35" s="312"/>
      <c r="AM35" s="312"/>
      <c r="AN35" s="312"/>
    </row>
    <row r="36">
      <c r="A36" s="309" t="s">
        <v>364</v>
      </c>
      <c r="B36" s="137"/>
      <c r="C36" s="310"/>
      <c r="D36" s="310"/>
      <c r="E36" s="310"/>
      <c r="F36" s="310"/>
      <c r="G36" s="310"/>
      <c r="H36" s="310"/>
      <c r="I36" s="310"/>
      <c r="J36" s="310"/>
      <c r="K36" s="310"/>
      <c r="L36" s="310"/>
      <c r="M36" s="310"/>
      <c r="N36" s="310"/>
      <c r="O36" s="310"/>
      <c r="P36" s="310"/>
      <c r="Q36" s="310"/>
      <c r="R36" s="310"/>
      <c r="S36" s="310"/>
      <c r="T36" s="310"/>
      <c r="U36" s="311">
        <v>50.0</v>
      </c>
      <c r="V36" s="312"/>
      <c r="W36" s="312"/>
      <c r="X36" s="312"/>
      <c r="Y36" s="312"/>
      <c r="Z36" s="312"/>
      <c r="AA36" s="312"/>
      <c r="AB36" s="312"/>
      <c r="AC36" s="312"/>
      <c r="AD36" s="312"/>
      <c r="AE36" s="312"/>
      <c r="AF36" s="312"/>
      <c r="AG36" s="312"/>
      <c r="AH36" s="312"/>
      <c r="AI36" s="312"/>
      <c r="AJ36" s="312"/>
      <c r="AK36" s="312"/>
      <c r="AL36" s="312"/>
      <c r="AM36" s="312"/>
      <c r="AN36" s="312"/>
    </row>
    <row r="37">
      <c r="A37" s="313" t="s">
        <v>365</v>
      </c>
      <c r="B37" s="314"/>
      <c r="C37" s="315"/>
      <c r="D37" s="316"/>
      <c r="E37" s="316"/>
      <c r="F37" s="316"/>
      <c r="G37" s="316"/>
      <c r="H37" s="316"/>
      <c r="I37" s="316"/>
      <c r="J37" s="316"/>
      <c r="K37" s="316"/>
      <c r="L37" s="316"/>
      <c r="M37" s="316"/>
      <c r="N37" s="316"/>
      <c r="O37" s="316"/>
      <c r="P37" s="316"/>
      <c r="Q37" s="317"/>
      <c r="R37" s="317"/>
      <c r="S37" s="317"/>
      <c r="T37" s="317"/>
      <c r="U37" s="318"/>
      <c r="V37" s="317"/>
      <c r="W37" s="317"/>
      <c r="X37" s="317"/>
      <c r="Y37" s="317"/>
      <c r="Z37" s="317"/>
      <c r="AA37" s="317"/>
      <c r="AB37" s="317"/>
      <c r="AC37" s="316"/>
      <c r="AD37" s="316"/>
      <c r="AE37" s="316"/>
      <c r="AF37" s="316"/>
      <c r="AG37" s="316"/>
      <c r="AH37" s="316"/>
      <c r="AI37" s="316"/>
      <c r="AJ37" s="316"/>
      <c r="AK37" s="316"/>
      <c r="AL37" s="316"/>
      <c r="AM37" s="316"/>
      <c r="AN37" s="316"/>
    </row>
    <row r="38" ht="17.25" customHeight="1">
      <c r="A38" s="319" t="s">
        <v>45</v>
      </c>
      <c r="B38" s="320">
        <f t="shared" ref="B38:U38" si="20">B39+B41+B43+B45</f>
        <v>167</v>
      </c>
      <c r="C38" s="320">
        <f t="shared" si="20"/>
        <v>151</v>
      </c>
      <c r="D38" s="320">
        <f t="shared" si="20"/>
        <v>130</v>
      </c>
      <c r="E38" s="320">
        <f t="shared" si="20"/>
        <v>182</v>
      </c>
      <c r="F38" s="320">
        <f t="shared" si="20"/>
        <v>166</v>
      </c>
      <c r="G38" s="320">
        <f t="shared" si="20"/>
        <v>133</v>
      </c>
      <c r="H38" s="320">
        <f t="shared" si="20"/>
        <v>175</v>
      </c>
      <c r="I38" s="320">
        <f t="shared" si="20"/>
        <v>173</v>
      </c>
      <c r="J38" s="320">
        <f t="shared" si="20"/>
        <v>131</v>
      </c>
      <c r="K38" s="320">
        <f t="shared" si="20"/>
        <v>144</v>
      </c>
      <c r="L38" s="320">
        <f t="shared" si="20"/>
        <v>150</v>
      </c>
      <c r="M38" s="320">
        <f t="shared" si="20"/>
        <v>129</v>
      </c>
      <c r="N38" s="320">
        <f t="shared" si="20"/>
        <v>112</v>
      </c>
      <c r="O38" s="320">
        <f t="shared" si="20"/>
        <v>109</v>
      </c>
      <c r="P38" s="320">
        <f t="shared" si="20"/>
        <v>133</v>
      </c>
      <c r="Q38" s="320">
        <f t="shared" si="20"/>
        <v>144</v>
      </c>
      <c r="R38" s="320">
        <f t="shared" si="20"/>
        <v>109</v>
      </c>
      <c r="S38" s="320">
        <f t="shared" si="20"/>
        <v>127</v>
      </c>
      <c r="T38" s="320">
        <f t="shared" si="20"/>
        <v>104</v>
      </c>
      <c r="U38" s="320">
        <f t="shared" si="20"/>
        <v>142</v>
      </c>
      <c r="V38" s="320"/>
      <c r="W38" s="320"/>
      <c r="X38" s="320"/>
      <c r="Y38" s="320"/>
      <c r="Z38" s="320"/>
      <c r="AA38" s="320"/>
      <c r="AB38" s="320"/>
      <c r="AC38" s="320"/>
      <c r="AD38" s="320"/>
      <c r="AE38" s="320"/>
      <c r="AF38" s="320"/>
      <c r="AG38" s="320"/>
      <c r="AH38" s="320"/>
      <c r="AI38" s="320"/>
      <c r="AJ38" s="320"/>
      <c r="AK38" s="320"/>
      <c r="AL38" s="320"/>
      <c r="AM38" s="320"/>
      <c r="AN38" s="320"/>
    </row>
    <row r="39">
      <c r="A39" s="321" t="s">
        <v>366</v>
      </c>
      <c r="B39" s="322">
        <v>47.0</v>
      </c>
      <c r="C39" s="322">
        <v>55.0</v>
      </c>
      <c r="D39" s="322">
        <v>31.0</v>
      </c>
      <c r="E39" s="322">
        <v>58.0</v>
      </c>
      <c r="F39" s="322">
        <v>52.0</v>
      </c>
      <c r="G39" s="322">
        <v>44.0</v>
      </c>
      <c r="H39" s="322">
        <v>49.0</v>
      </c>
      <c r="I39" s="322">
        <v>41.0</v>
      </c>
      <c r="J39" s="322">
        <v>41.0</v>
      </c>
      <c r="K39" s="322">
        <v>48.0</v>
      </c>
      <c r="L39" s="322">
        <v>51.0</v>
      </c>
      <c r="M39" s="322">
        <v>31.0</v>
      </c>
      <c r="N39" s="322">
        <v>22.0</v>
      </c>
      <c r="O39" s="322">
        <v>14.0</v>
      </c>
      <c r="P39" s="322">
        <v>37.0</v>
      </c>
      <c r="Q39" s="322">
        <v>29.0</v>
      </c>
      <c r="R39" s="322">
        <v>24.0</v>
      </c>
      <c r="S39" s="322">
        <v>27.0</v>
      </c>
      <c r="T39" s="322">
        <v>32.0</v>
      </c>
      <c r="U39" s="323">
        <v>47.0</v>
      </c>
      <c r="V39" s="322"/>
      <c r="W39" s="322"/>
      <c r="X39" s="322"/>
      <c r="Y39" s="322"/>
      <c r="Z39" s="322"/>
      <c r="AA39" s="322"/>
      <c r="AB39" s="322"/>
      <c r="AC39" s="324"/>
      <c r="AD39" s="324"/>
      <c r="AE39" s="324"/>
      <c r="AF39" s="324"/>
      <c r="AG39" s="324"/>
      <c r="AH39" s="324"/>
      <c r="AI39" s="324"/>
      <c r="AJ39" s="324"/>
      <c r="AK39" s="324"/>
      <c r="AL39" s="324"/>
      <c r="AM39" s="324"/>
      <c r="AN39" s="324"/>
    </row>
    <row r="40">
      <c r="A40" s="325" t="s">
        <v>367</v>
      </c>
      <c r="B40" s="132"/>
      <c r="C40" s="326" t="s">
        <v>368</v>
      </c>
      <c r="D40" s="327" t="s">
        <v>369</v>
      </c>
      <c r="E40" s="130"/>
      <c r="F40" s="130"/>
      <c r="G40" s="130"/>
      <c r="H40" s="130"/>
      <c r="I40" s="130"/>
      <c r="J40" s="327" t="s">
        <v>370</v>
      </c>
      <c r="L40" s="327" t="s">
        <v>371</v>
      </c>
      <c r="M40" s="327" t="s">
        <v>372</v>
      </c>
      <c r="N40" s="130"/>
      <c r="O40" s="130"/>
      <c r="P40" s="328" t="s">
        <v>373</v>
      </c>
      <c r="Q40" s="133"/>
      <c r="R40" s="329" t="s">
        <v>374</v>
      </c>
      <c r="S40" s="330" t="s">
        <v>375</v>
      </c>
      <c r="T40" s="133"/>
      <c r="U40" s="134"/>
      <c r="V40" s="133"/>
      <c r="W40" s="133"/>
      <c r="X40" s="133"/>
      <c r="Y40" s="133"/>
      <c r="Z40" s="133"/>
      <c r="AA40" s="133"/>
      <c r="AB40" s="133"/>
      <c r="AC40" s="130"/>
      <c r="AD40" s="130"/>
      <c r="AE40" s="130"/>
      <c r="AF40" s="130"/>
      <c r="AG40" s="130"/>
      <c r="AH40" s="130"/>
      <c r="AI40" s="130"/>
      <c r="AJ40" s="130"/>
      <c r="AK40" s="130"/>
      <c r="AL40" s="130"/>
      <c r="AM40" s="130"/>
      <c r="AN40" s="130"/>
    </row>
    <row r="41">
      <c r="A41" s="321" t="s">
        <v>376</v>
      </c>
      <c r="B41" s="322">
        <v>12.0</v>
      </c>
      <c r="C41" s="322">
        <v>5.0</v>
      </c>
      <c r="D41" s="322">
        <v>8.0</v>
      </c>
      <c r="E41" s="322">
        <v>10.0</v>
      </c>
      <c r="F41" s="322">
        <v>15.0</v>
      </c>
      <c r="G41" s="322">
        <v>15.0</v>
      </c>
      <c r="H41" s="322">
        <v>20.0</v>
      </c>
      <c r="I41" s="322">
        <v>21.0</v>
      </c>
      <c r="J41" s="322">
        <v>8.0</v>
      </c>
      <c r="K41" s="322">
        <v>6.0</v>
      </c>
      <c r="L41" s="322">
        <v>30.0</v>
      </c>
      <c r="M41" s="322">
        <v>30.0</v>
      </c>
      <c r="N41" s="322">
        <v>27.0</v>
      </c>
      <c r="O41" s="322">
        <v>24.0</v>
      </c>
      <c r="P41" s="322">
        <v>21.0</v>
      </c>
      <c r="Q41" s="322">
        <v>21.0</v>
      </c>
      <c r="R41" s="322">
        <v>1.0</v>
      </c>
      <c r="S41" s="322">
        <v>24.0</v>
      </c>
      <c r="T41" s="322">
        <v>6.0</v>
      </c>
      <c r="U41" s="323">
        <v>6.0</v>
      </c>
      <c r="V41" s="322"/>
      <c r="W41" s="322"/>
      <c r="X41" s="322"/>
      <c r="Y41" s="322"/>
      <c r="Z41" s="322"/>
      <c r="AA41" s="322"/>
      <c r="AB41" s="322"/>
      <c r="AC41" s="324"/>
      <c r="AD41" s="324"/>
      <c r="AE41" s="324"/>
      <c r="AF41" s="324"/>
      <c r="AG41" s="324"/>
      <c r="AH41" s="324"/>
      <c r="AI41" s="324"/>
      <c r="AJ41" s="324"/>
      <c r="AK41" s="324"/>
      <c r="AL41" s="324"/>
      <c r="AM41" s="324"/>
      <c r="AN41" s="324"/>
    </row>
    <row r="42">
      <c r="A42" s="325" t="s">
        <v>367</v>
      </c>
      <c r="B42" s="132"/>
      <c r="C42" s="133"/>
      <c r="D42" s="130"/>
      <c r="E42" s="130"/>
      <c r="F42" s="130"/>
      <c r="G42" s="130"/>
      <c r="H42" s="130"/>
      <c r="I42" s="130"/>
      <c r="J42" s="130"/>
      <c r="K42" s="130"/>
      <c r="L42" s="130"/>
      <c r="M42" s="130"/>
      <c r="N42" s="130"/>
      <c r="O42" s="130"/>
      <c r="P42" s="133"/>
      <c r="Q42" s="133"/>
      <c r="R42" s="133"/>
      <c r="S42" s="133"/>
      <c r="T42" s="133"/>
      <c r="U42" s="134"/>
      <c r="V42" s="133"/>
      <c r="W42" s="133"/>
      <c r="X42" s="133"/>
      <c r="Y42" s="133"/>
      <c r="Z42" s="133"/>
      <c r="AA42" s="133"/>
      <c r="AB42" s="133"/>
      <c r="AC42" s="130"/>
      <c r="AD42" s="130"/>
      <c r="AE42" s="130"/>
      <c r="AF42" s="130"/>
      <c r="AG42" s="130"/>
      <c r="AH42" s="130"/>
      <c r="AI42" s="130"/>
      <c r="AJ42" s="130"/>
      <c r="AK42" s="130"/>
      <c r="AL42" s="130"/>
      <c r="AM42" s="130"/>
      <c r="AN42" s="130"/>
    </row>
    <row r="43">
      <c r="A43" s="321" t="s">
        <v>377</v>
      </c>
      <c r="B43" s="322">
        <v>53.0</v>
      </c>
      <c r="C43" s="322">
        <v>44.0</v>
      </c>
      <c r="D43" s="322">
        <v>44.0</v>
      </c>
      <c r="E43" s="322">
        <v>54.0</v>
      </c>
      <c r="F43" s="322">
        <v>52.0</v>
      </c>
      <c r="G43" s="322">
        <v>31.0</v>
      </c>
      <c r="H43" s="322">
        <v>54.0</v>
      </c>
      <c r="I43" s="322">
        <v>56.0</v>
      </c>
      <c r="J43" s="322">
        <v>40.0</v>
      </c>
      <c r="K43" s="322">
        <v>43.0</v>
      </c>
      <c r="L43" s="322">
        <v>27.0</v>
      </c>
      <c r="M43" s="322">
        <v>23.0</v>
      </c>
      <c r="N43" s="322">
        <v>34.0</v>
      </c>
      <c r="O43" s="322">
        <v>37.0</v>
      </c>
      <c r="P43" s="322">
        <v>34.0</v>
      </c>
      <c r="Q43" s="322">
        <v>42.0</v>
      </c>
      <c r="R43" s="322">
        <v>42.0</v>
      </c>
      <c r="S43" s="322">
        <v>39.0</v>
      </c>
      <c r="T43" s="322">
        <v>27.0</v>
      </c>
      <c r="U43" s="322">
        <v>39.0</v>
      </c>
      <c r="V43" s="322"/>
      <c r="W43" s="322"/>
      <c r="X43" s="322"/>
      <c r="Y43" s="322"/>
      <c r="Z43" s="322"/>
      <c r="AA43" s="322"/>
      <c r="AB43" s="322"/>
      <c r="AC43" s="324"/>
      <c r="AD43" s="324"/>
      <c r="AE43" s="324"/>
      <c r="AF43" s="324"/>
      <c r="AG43" s="324"/>
      <c r="AH43" s="324"/>
      <c r="AI43" s="324"/>
      <c r="AJ43" s="324"/>
      <c r="AK43" s="324"/>
      <c r="AL43" s="324"/>
      <c r="AM43" s="324"/>
      <c r="AN43" s="324"/>
    </row>
    <row r="44">
      <c r="A44" s="325" t="s">
        <v>367</v>
      </c>
      <c r="B44" s="331" t="s">
        <v>378</v>
      </c>
      <c r="C44" s="130"/>
      <c r="D44" s="327" t="s">
        <v>379</v>
      </c>
      <c r="E44" s="332" t="s">
        <v>369</v>
      </c>
      <c r="F44" s="327" t="s">
        <v>380</v>
      </c>
      <c r="G44" s="327" t="s">
        <v>381</v>
      </c>
      <c r="H44" s="327" t="s">
        <v>382</v>
      </c>
      <c r="I44" s="327" t="s">
        <v>383</v>
      </c>
      <c r="J44" s="327" t="s">
        <v>384</v>
      </c>
      <c r="K44" s="333" t="s">
        <v>385</v>
      </c>
      <c r="L44" s="130"/>
      <c r="M44" s="130"/>
      <c r="N44" s="334" t="s">
        <v>386</v>
      </c>
      <c r="O44" s="335" t="s">
        <v>387</v>
      </c>
      <c r="P44" s="336" t="s">
        <v>388</v>
      </c>
      <c r="Q44" s="337" t="s">
        <v>389</v>
      </c>
      <c r="R44" s="133"/>
      <c r="S44" s="330" t="s">
        <v>390</v>
      </c>
      <c r="T44" s="336" t="s">
        <v>391</v>
      </c>
      <c r="U44" s="338" t="s">
        <v>392</v>
      </c>
      <c r="V44" s="133"/>
      <c r="W44" s="133"/>
      <c r="X44" s="133"/>
      <c r="Y44" s="133"/>
      <c r="Z44" s="133"/>
      <c r="AA44" s="133"/>
      <c r="AB44" s="133"/>
      <c r="AC44" s="130"/>
      <c r="AD44" s="130"/>
      <c r="AE44" s="130"/>
      <c r="AF44" s="130"/>
      <c r="AG44" s="130"/>
      <c r="AH44" s="130"/>
      <c r="AI44" s="130"/>
      <c r="AJ44" s="130"/>
      <c r="AK44" s="130"/>
      <c r="AL44" s="130"/>
      <c r="AM44" s="130"/>
      <c r="AN44" s="130"/>
    </row>
    <row r="45">
      <c r="A45" s="321" t="s">
        <v>393</v>
      </c>
      <c r="B45" s="322">
        <v>55.0</v>
      </c>
      <c r="C45" s="322">
        <v>47.0</v>
      </c>
      <c r="D45" s="322">
        <v>47.0</v>
      </c>
      <c r="E45" s="322">
        <v>60.0</v>
      </c>
      <c r="F45" s="322">
        <v>47.0</v>
      </c>
      <c r="G45" s="322">
        <v>43.0</v>
      </c>
      <c r="H45" s="322">
        <v>52.0</v>
      </c>
      <c r="I45" s="322">
        <v>55.0</v>
      </c>
      <c r="J45" s="322">
        <v>42.0</v>
      </c>
      <c r="K45" s="322">
        <v>47.0</v>
      </c>
      <c r="L45" s="322">
        <v>42.0</v>
      </c>
      <c r="M45" s="322">
        <v>45.0</v>
      </c>
      <c r="N45" s="322">
        <v>29.0</v>
      </c>
      <c r="O45" s="322">
        <v>34.0</v>
      </c>
      <c r="P45" s="322">
        <v>41.0</v>
      </c>
      <c r="Q45" s="322">
        <v>52.0</v>
      </c>
      <c r="R45" s="322">
        <v>42.0</v>
      </c>
      <c r="S45" s="322">
        <v>37.0</v>
      </c>
      <c r="T45" s="322">
        <v>39.0</v>
      </c>
      <c r="U45" s="323">
        <v>50.0</v>
      </c>
      <c r="V45" s="322"/>
      <c r="W45" s="322"/>
      <c r="X45" s="322"/>
      <c r="Y45" s="322"/>
      <c r="Z45" s="322"/>
      <c r="AA45" s="322"/>
      <c r="AB45" s="322"/>
      <c r="AC45" s="324"/>
      <c r="AD45" s="324"/>
      <c r="AE45" s="324"/>
      <c r="AF45" s="324"/>
      <c r="AG45" s="324"/>
      <c r="AH45" s="324"/>
      <c r="AI45" s="324"/>
      <c r="AJ45" s="324"/>
      <c r="AK45" s="324"/>
      <c r="AL45" s="324"/>
      <c r="AM45" s="324"/>
      <c r="AN45" s="324"/>
    </row>
    <row r="46">
      <c r="A46" s="325" t="s">
        <v>367</v>
      </c>
      <c r="B46" s="339" t="s">
        <v>394</v>
      </c>
      <c r="C46" s="326" t="s">
        <v>394</v>
      </c>
      <c r="D46" s="340" t="s">
        <v>395</v>
      </c>
      <c r="E46" s="333" t="s">
        <v>396</v>
      </c>
      <c r="F46" s="327" t="s">
        <v>397</v>
      </c>
      <c r="G46" s="327" t="s">
        <v>398</v>
      </c>
      <c r="H46" s="327" t="s">
        <v>399</v>
      </c>
      <c r="I46" s="327" t="s">
        <v>400</v>
      </c>
      <c r="J46" s="327" t="s">
        <v>401</v>
      </c>
      <c r="K46" s="333" t="s">
        <v>402</v>
      </c>
      <c r="L46" s="327" t="s">
        <v>403</v>
      </c>
      <c r="M46" s="327" t="s">
        <v>404</v>
      </c>
      <c r="N46" s="334" t="s">
        <v>405</v>
      </c>
      <c r="O46" s="335" t="s">
        <v>406</v>
      </c>
      <c r="P46" s="341" t="s">
        <v>407</v>
      </c>
      <c r="Q46" s="342" t="s">
        <v>408</v>
      </c>
      <c r="R46" s="329" t="s">
        <v>409</v>
      </c>
      <c r="S46" s="330" t="s">
        <v>410</v>
      </c>
      <c r="T46" s="336" t="s">
        <v>411</v>
      </c>
      <c r="U46" s="343" t="s">
        <v>412</v>
      </c>
      <c r="V46" s="133"/>
      <c r="W46" s="133"/>
      <c r="X46" s="133"/>
      <c r="Y46" s="133"/>
      <c r="Z46" s="133"/>
      <c r="AA46" s="133"/>
      <c r="AB46" s="133"/>
      <c r="AC46" s="130"/>
      <c r="AD46" s="130"/>
      <c r="AE46" s="130"/>
      <c r="AF46" s="130"/>
      <c r="AG46" s="130"/>
      <c r="AH46" s="130"/>
      <c r="AI46" s="130"/>
      <c r="AJ46" s="130"/>
      <c r="AK46" s="130"/>
      <c r="AL46" s="130"/>
      <c r="AM46" s="130"/>
      <c r="AN46" s="130"/>
    </row>
    <row r="47">
      <c r="A47" s="344" t="s">
        <v>46</v>
      </c>
      <c r="B47" s="320">
        <f t="shared" ref="B47:U47" si="21">B48+B49+B50+B51</f>
        <v>142</v>
      </c>
      <c r="C47" s="320">
        <f t="shared" si="21"/>
        <v>149</v>
      </c>
      <c r="D47" s="320">
        <f t="shared" si="21"/>
        <v>135</v>
      </c>
      <c r="E47" s="320">
        <f t="shared" si="21"/>
        <v>144</v>
      </c>
      <c r="F47" s="320">
        <f t="shared" si="21"/>
        <v>156</v>
      </c>
      <c r="G47" s="320">
        <f t="shared" si="21"/>
        <v>120</v>
      </c>
      <c r="H47" s="320">
        <f t="shared" si="21"/>
        <v>114</v>
      </c>
      <c r="I47" s="320">
        <f t="shared" si="21"/>
        <v>140</v>
      </c>
      <c r="J47" s="320">
        <f t="shared" si="21"/>
        <v>80</v>
      </c>
      <c r="K47" s="320">
        <f t="shared" si="21"/>
        <v>115</v>
      </c>
      <c r="L47" s="320">
        <f t="shared" si="21"/>
        <v>106</v>
      </c>
      <c r="M47" s="320">
        <f t="shared" si="21"/>
        <v>94</v>
      </c>
      <c r="N47" s="320">
        <f t="shared" si="21"/>
        <v>67</v>
      </c>
      <c r="O47" s="320">
        <f t="shared" si="21"/>
        <v>81</v>
      </c>
      <c r="P47" s="320">
        <f t="shared" si="21"/>
        <v>48</v>
      </c>
      <c r="Q47" s="320">
        <f t="shared" si="21"/>
        <v>113</v>
      </c>
      <c r="R47" s="320">
        <f t="shared" si="21"/>
        <v>86</v>
      </c>
      <c r="S47" s="320">
        <f t="shared" si="21"/>
        <v>107</v>
      </c>
      <c r="T47" s="320">
        <f t="shared" si="21"/>
        <v>85</v>
      </c>
      <c r="U47" s="320">
        <f t="shared" si="21"/>
        <v>81</v>
      </c>
      <c r="V47" s="320"/>
      <c r="W47" s="320"/>
      <c r="X47" s="320"/>
      <c r="Y47" s="320"/>
      <c r="Z47" s="320"/>
      <c r="AA47" s="320"/>
      <c r="AB47" s="320"/>
      <c r="AC47" s="320"/>
      <c r="AD47" s="320"/>
      <c r="AE47" s="320"/>
      <c r="AF47" s="320"/>
      <c r="AG47" s="320"/>
      <c r="AH47" s="320"/>
      <c r="AI47" s="320"/>
      <c r="AJ47" s="320"/>
      <c r="AK47" s="320"/>
      <c r="AL47" s="320"/>
      <c r="AM47" s="320"/>
      <c r="AN47" s="320"/>
    </row>
    <row r="48">
      <c r="A48" s="321" t="s">
        <v>366</v>
      </c>
      <c r="B48" s="345">
        <v>47.0</v>
      </c>
      <c r="C48" s="322">
        <v>55.0</v>
      </c>
      <c r="D48" s="322">
        <v>25.0</v>
      </c>
      <c r="E48" s="322">
        <v>16.0</v>
      </c>
      <c r="F48" s="322">
        <v>52.0</v>
      </c>
      <c r="G48" s="322">
        <v>32.0</v>
      </c>
      <c r="H48" s="322">
        <v>0.0</v>
      </c>
      <c r="I48" s="322">
        <v>31.0</v>
      </c>
      <c r="J48" s="322">
        <v>29.0</v>
      </c>
      <c r="K48" s="322">
        <v>18.0</v>
      </c>
      <c r="L48" s="322">
        <v>29.0</v>
      </c>
      <c r="M48" s="322">
        <v>21.0</v>
      </c>
      <c r="N48" s="322">
        <v>29.0</v>
      </c>
      <c r="O48" s="322">
        <v>0.0</v>
      </c>
      <c r="P48" s="322">
        <v>1.0</v>
      </c>
      <c r="Q48" s="322">
        <v>26.0</v>
      </c>
      <c r="R48" s="322">
        <v>13.0</v>
      </c>
      <c r="S48" s="322">
        <v>21.0</v>
      </c>
      <c r="T48" s="322">
        <v>8.0</v>
      </c>
      <c r="U48" s="323">
        <v>15.0</v>
      </c>
      <c r="V48" s="322"/>
      <c r="W48" s="322"/>
      <c r="X48" s="322"/>
      <c r="Y48" s="322"/>
      <c r="Z48" s="322"/>
      <c r="AA48" s="322"/>
      <c r="AB48" s="324"/>
      <c r="AC48" s="324"/>
      <c r="AD48" s="324"/>
      <c r="AE48" s="324"/>
      <c r="AF48" s="324"/>
      <c r="AG48" s="324"/>
      <c r="AH48" s="324"/>
      <c r="AI48" s="324"/>
      <c r="AJ48" s="324"/>
      <c r="AK48" s="324"/>
      <c r="AL48" s="324"/>
      <c r="AM48" s="324"/>
      <c r="AN48" s="324"/>
    </row>
    <row r="49">
      <c r="A49" s="321" t="s">
        <v>376</v>
      </c>
      <c r="B49" s="345">
        <v>0.0</v>
      </c>
      <c r="C49" s="322">
        <v>0.0</v>
      </c>
      <c r="D49" s="322">
        <v>11.0</v>
      </c>
      <c r="E49" s="322">
        <v>6.0</v>
      </c>
      <c r="F49" s="322">
        <v>5.0</v>
      </c>
      <c r="G49" s="322">
        <v>0.0</v>
      </c>
      <c r="H49" s="322">
        <v>0.0</v>
      </c>
      <c r="I49" s="322">
        <v>6.0</v>
      </c>
      <c r="J49" s="322">
        <v>0.0</v>
      </c>
      <c r="K49" s="322">
        <v>0.0</v>
      </c>
      <c r="L49" s="322">
        <v>0.0</v>
      </c>
      <c r="M49" s="322">
        <v>8.0</v>
      </c>
      <c r="N49" s="322">
        <v>4.0</v>
      </c>
      <c r="O49" s="322">
        <v>0.0</v>
      </c>
      <c r="P49" s="322">
        <v>0.0</v>
      </c>
      <c r="Q49" s="322">
        <v>0.0</v>
      </c>
      <c r="R49" s="322">
        <v>1.0</v>
      </c>
      <c r="S49" s="322">
        <v>23.0</v>
      </c>
      <c r="T49" s="322">
        <v>8.0</v>
      </c>
      <c r="U49" s="323">
        <v>0.0</v>
      </c>
      <c r="V49" s="324"/>
      <c r="W49" s="324"/>
      <c r="X49" s="324"/>
      <c r="Y49" s="324"/>
      <c r="Z49" s="324"/>
      <c r="AA49" s="324"/>
      <c r="AB49" s="324"/>
      <c r="AC49" s="324"/>
      <c r="AD49" s="324"/>
      <c r="AE49" s="324"/>
      <c r="AF49" s="324"/>
      <c r="AG49" s="324"/>
      <c r="AH49" s="324"/>
      <c r="AI49" s="324"/>
      <c r="AJ49" s="324"/>
      <c r="AK49" s="324"/>
      <c r="AL49" s="324"/>
      <c r="AM49" s="324"/>
      <c r="AN49" s="324"/>
    </row>
    <row r="50">
      <c r="A50" s="321" t="s">
        <v>377</v>
      </c>
      <c r="B50" s="345">
        <v>53.0</v>
      </c>
      <c r="C50" s="322">
        <v>39.0</v>
      </c>
      <c r="D50" s="322">
        <v>44.0</v>
      </c>
      <c r="E50" s="322">
        <v>62.0</v>
      </c>
      <c r="F50" s="322">
        <v>52.0</v>
      </c>
      <c r="G50" s="322">
        <v>32.0</v>
      </c>
      <c r="H50" s="322">
        <v>75.0</v>
      </c>
      <c r="I50" s="322">
        <v>48.0</v>
      </c>
      <c r="J50" s="322">
        <v>43.0</v>
      </c>
      <c r="K50" s="322">
        <v>29.0</v>
      </c>
      <c r="L50" s="322">
        <v>43.0</v>
      </c>
      <c r="M50" s="322">
        <v>28.0</v>
      </c>
      <c r="N50" s="322">
        <v>13.0</v>
      </c>
      <c r="O50" s="322">
        <v>34.0</v>
      </c>
      <c r="P50" s="322">
        <v>24.0</v>
      </c>
      <c r="Q50" s="322">
        <v>48.0</v>
      </c>
      <c r="R50" s="322">
        <v>42.0</v>
      </c>
      <c r="S50" s="322">
        <v>39.0</v>
      </c>
      <c r="T50" s="322">
        <v>31.0</v>
      </c>
      <c r="U50" s="323">
        <v>32.0</v>
      </c>
      <c r="V50" s="324"/>
      <c r="W50" s="324"/>
      <c r="X50" s="324"/>
      <c r="Y50" s="324"/>
      <c r="Z50" s="324"/>
      <c r="AA50" s="324"/>
      <c r="AB50" s="324"/>
      <c r="AC50" s="324"/>
      <c r="AD50" s="324"/>
      <c r="AE50" s="324"/>
      <c r="AF50" s="324"/>
      <c r="AG50" s="324"/>
      <c r="AH50" s="324"/>
      <c r="AI50" s="324"/>
      <c r="AJ50" s="324"/>
      <c r="AK50" s="324"/>
      <c r="AL50" s="324"/>
      <c r="AM50" s="324"/>
      <c r="AN50" s="324"/>
    </row>
    <row r="51">
      <c r="A51" s="321" t="s">
        <v>393</v>
      </c>
      <c r="B51" s="345">
        <v>42.0</v>
      </c>
      <c r="C51" s="322">
        <v>55.0</v>
      </c>
      <c r="D51" s="322">
        <v>55.0</v>
      </c>
      <c r="E51" s="322">
        <v>60.0</v>
      </c>
      <c r="F51" s="322">
        <v>47.0</v>
      </c>
      <c r="G51" s="322">
        <v>56.0</v>
      </c>
      <c r="H51" s="322">
        <v>39.0</v>
      </c>
      <c r="I51" s="322">
        <v>55.0</v>
      </c>
      <c r="J51" s="322">
        <v>8.0</v>
      </c>
      <c r="K51" s="322">
        <v>68.0</v>
      </c>
      <c r="L51" s="322">
        <v>34.0</v>
      </c>
      <c r="M51" s="322">
        <v>37.0</v>
      </c>
      <c r="N51" s="322">
        <v>21.0</v>
      </c>
      <c r="O51" s="322">
        <v>47.0</v>
      </c>
      <c r="P51" s="322">
        <v>23.0</v>
      </c>
      <c r="Q51" s="322">
        <v>39.0</v>
      </c>
      <c r="R51" s="322">
        <v>30.0</v>
      </c>
      <c r="S51" s="322">
        <v>24.0</v>
      </c>
      <c r="T51" s="322">
        <v>38.0</v>
      </c>
      <c r="U51" s="323">
        <v>34.0</v>
      </c>
      <c r="V51" s="322"/>
      <c r="W51" s="322"/>
      <c r="X51" s="322"/>
      <c r="Y51" s="322"/>
      <c r="Z51" s="322"/>
      <c r="AA51" s="322"/>
      <c r="AB51" s="324"/>
      <c r="AC51" s="324"/>
      <c r="AD51" s="324"/>
      <c r="AE51" s="324"/>
      <c r="AF51" s="324"/>
      <c r="AG51" s="324"/>
      <c r="AH51" s="324"/>
      <c r="AI51" s="324"/>
      <c r="AJ51" s="324"/>
      <c r="AK51" s="324"/>
      <c r="AL51" s="324"/>
      <c r="AM51" s="324"/>
      <c r="AN51" s="324"/>
    </row>
    <row r="52">
      <c r="A52" s="346"/>
      <c r="B52" s="137"/>
      <c r="C52" s="133"/>
      <c r="D52" s="133"/>
      <c r="E52" s="130"/>
      <c r="F52" s="133"/>
      <c r="G52" s="133"/>
      <c r="H52" s="133"/>
      <c r="I52" s="133"/>
      <c r="J52" s="133"/>
      <c r="K52" s="133"/>
      <c r="L52" s="133"/>
      <c r="M52" s="133"/>
      <c r="N52" s="133"/>
      <c r="O52" s="133"/>
      <c r="P52" s="133"/>
      <c r="Q52" s="133"/>
      <c r="R52" s="133"/>
      <c r="S52" s="133"/>
      <c r="T52" s="133"/>
      <c r="U52" s="134"/>
      <c r="V52" s="133"/>
      <c r="W52" s="133"/>
      <c r="X52" s="133"/>
      <c r="Y52" s="133"/>
      <c r="Z52" s="133"/>
      <c r="AA52" s="133"/>
      <c r="AB52" s="130"/>
      <c r="AC52" s="130"/>
      <c r="AD52" s="130"/>
      <c r="AE52" s="130"/>
      <c r="AF52" s="130"/>
      <c r="AG52" s="130"/>
      <c r="AH52" s="130"/>
      <c r="AI52" s="130"/>
      <c r="AJ52" s="130"/>
      <c r="AK52" s="130"/>
      <c r="AL52" s="130"/>
      <c r="AM52" s="130"/>
      <c r="AN52" s="130"/>
    </row>
    <row r="53">
      <c r="A53" s="347" t="s">
        <v>413</v>
      </c>
      <c r="B53" s="348"/>
      <c r="C53" s="349"/>
      <c r="D53" s="349"/>
      <c r="E53" s="349"/>
      <c r="F53" s="349"/>
      <c r="G53" s="349"/>
      <c r="H53" s="349"/>
      <c r="I53" s="349"/>
      <c r="J53" s="349"/>
      <c r="K53" s="349"/>
      <c r="L53" s="349"/>
      <c r="M53" s="349"/>
      <c r="N53" s="349"/>
      <c r="O53" s="349"/>
      <c r="P53" s="349"/>
      <c r="Q53" s="349"/>
      <c r="R53" s="349"/>
      <c r="S53" s="349"/>
      <c r="T53" s="349"/>
      <c r="U53" s="350"/>
      <c r="V53" s="349"/>
      <c r="W53" s="349"/>
      <c r="X53" s="349"/>
      <c r="Y53" s="349"/>
      <c r="Z53" s="349"/>
      <c r="AA53" s="349"/>
      <c r="AB53" s="351"/>
      <c r="AC53" s="351"/>
      <c r="AD53" s="351"/>
      <c r="AE53" s="351"/>
      <c r="AF53" s="351"/>
      <c r="AG53" s="351"/>
      <c r="AH53" s="351"/>
      <c r="AI53" s="351"/>
      <c r="AJ53" s="351"/>
      <c r="AK53" s="351"/>
      <c r="AL53" s="351"/>
      <c r="AM53" s="351"/>
      <c r="AN53" s="351"/>
    </row>
    <row r="54">
      <c r="A54" s="319" t="s">
        <v>45</v>
      </c>
      <c r="B54" s="352">
        <f t="shared" ref="B54:T54" si="22">B55+B57+B59+B61</f>
        <v>181</v>
      </c>
      <c r="C54" s="352">
        <f t="shared" si="22"/>
        <v>184</v>
      </c>
      <c r="D54" s="352">
        <f t="shared" si="22"/>
        <v>144</v>
      </c>
      <c r="E54" s="352">
        <f t="shared" si="22"/>
        <v>194</v>
      </c>
      <c r="F54" s="352">
        <f t="shared" si="22"/>
        <v>68</v>
      </c>
      <c r="G54" s="352">
        <f t="shared" si="22"/>
        <v>123</v>
      </c>
      <c r="H54" s="352">
        <f t="shared" si="22"/>
        <v>194</v>
      </c>
      <c r="I54" s="352">
        <f t="shared" si="22"/>
        <v>110</v>
      </c>
      <c r="J54" s="352">
        <f t="shared" si="22"/>
        <v>118</v>
      </c>
      <c r="K54" s="352">
        <f t="shared" si="22"/>
        <v>120</v>
      </c>
      <c r="L54" s="352">
        <f t="shared" si="22"/>
        <v>165</v>
      </c>
      <c r="M54" s="352">
        <f t="shared" si="22"/>
        <v>131</v>
      </c>
      <c r="N54" s="352">
        <f t="shared" si="22"/>
        <v>241</v>
      </c>
      <c r="O54" s="352">
        <f t="shared" si="22"/>
        <v>107</v>
      </c>
      <c r="P54" s="352">
        <f t="shared" si="22"/>
        <v>84</v>
      </c>
      <c r="Q54" s="352">
        <f t="shared" si="22"/>
        <v>74</v>
      </c>
      <c r="R54" s="352">
        <f t="shared" si="22"/>
        <v>58</v>
      </c>
      <c r="S54" s="352">
        <f t="shared" si="22"/>
        <v>104</v>
      </c>
      <c r="T54" s="352">
        <f t="shared" si="22"/>
        <v>86</v>
      </c>
      <c r="U54" s="352">
        <f>U55+U57+U59+U61+U63</f>
        <v>90</v>
      </c>
      <c r="V54" s="353"/>
      <c r="W54" s="353"/>
      <c r="X54" s="353"/>
      <c r="Y54" s="353"/>
      <c r="Z54" s="353"/>
      <c r="AA54" s="353"/>
      <c r="AB54" s="320"/>
      <c r="AC54" s="320"/>
      <c r="AD54" s="320"/>
      <c r="AE54" s="320"/>
      <c r="AF54" s="320"/>
      <c r="AG54" s="320"/>
      <c r="AH54" s="320"/>
      <c r="AI54" s="320"/>
      <c r="AJ54" s="320"/>
      <c r="AK54" s="320"/>
      <c r="AL54" s="320"/>
      <c r="AM54" s="320"/>
      <c r="AN54" s="320"/>
    </row>
    <row r="55">
      <c r="A55" s="354" t="s">
        <v>414</v>
      </c>
      <c r="B55" s="355">
        <v>76.0</v>
      </c>
      <c r="C55" s="356">
        <v>66.0</v>
      </c>
      <c r="D55" s="356">
        <v>42.0</v>
      </c>
      <c r="E55" s="356">
        <v>71.0</v>
      </c>
      <c r="F55" s="356">
        <v>34.0</v>
      </c>
      <c r="G55" s="356">
        <v>37.0</v>
      </c>
      <c r="H55" s="357">
        <v>63.0</v>
      </c>
      <c r="I55" s="356">
        <v>42.0</v>
      </c>
      <c r="J55" s="356">
        <v>55.0</v>
      </c>
      <c r="K55" s="356">
        <v>18.0</v>
      </c>
      <c r="L55" s="356">
        <v>55.0</v>
      </c>
      <c r="M55" s="356">
        <v>21.0</v>
      </c>
      <c r="N55" s="356">
        <v>76.0</v>
      </c>
      <c r="O55" s="356">
        <v>31.0</v>
      </c>
      <c r="P55" s="356">
        <v>42.0</v>
      </c>
      <c r="Q55" s="356">
        <v>21.0</v>
      </c>
      <c r="R55" s="356">
        <v>21.0</v>
      </c>
      <c r="S55" s="356">
        <v>26.0</v>
      </c>
      <c r="T55" s="356">
        <v>21.0</v>
      </c>
      <c r="U55" s="356">
        <v>21.0</v>
      </c>
      <c r="V55" s="356"/>
      <c r="W55" s="356"/>
      <c r="X55" s="356"/>
      <c r="Y55" s="356"/>
      <c r="Z55" s="356"/>
      <c r="AA55" s="356"/>
      <c r="AB55" s="358"/>
      <c r="AC55" s="358"/>
      <c r="AD55" s="358"/>
      <c r="AE55" s="358"/>
      <c r="AF55" s="358"/>
      <c r="AG55" s="358"/>
      <c r="AH55" s="358"/>
      <c r="AI55" s="358"/>
      <c r="AJ55" s="358"/>
      <c r="AK55" s="358"/>
      <c r="AL55" s="358"/>
      <c r="AM55" s="358"/>
      <c r="AN55" s="358"/>
    </row>
    <row r="56">
      <c r="A56" s="325" t="s">
        <v>367</v>
      </c>
      <c r="B56" s="326" t="s">
        <v>415</v>
      </c>
      <c r="C56" s="326" t="s">
        <v>416</v>
      </c>
      <c r="D56" s="327" t="s">
        <v>417</v>
      </c>
      <c r="E56" s="327" t="s">
        <v>418</v>
      </c>
      <c r="F56" s="327" t="s">
        <v>419</v>
      </c>
      <c r="G56" s="327" t="s">
        <v>420</v>
      </c>
      <c r="H56" s="133"/>
      <c r="I56" s="327" t="s">
        <v>421</v>
      </c>
      <c r="J56" s="133"/>
      <c r="K56" s="133"/>
      <c r="L56" s="327" t="s">
        <v>422</v>
      </c>
      <c r="M56" s="327" t="s">
        <v>423</v>
      </c>
      <c r="N56" s="133"/>
      <c r="O56" s="133"/>
      <c r="P56" s="341" t="s">
        <v>424</v>
      </c>
      <c r="Q56" s="337" t="s">
        <v>425</v>
      </c>
      <c r="R56" s="329" t="s">
        <v>426</v>
      </c>
      <c r="S56" s="327" t="s">
        <v>427</v>
      </c>
      <c r="T56" s="359" t="s">
        <v>428</v>
      </c>
      <c r="U56" s="360" t="s">
        <v>429</v>
      </c>
      <c r="V56" s="133"/>
      <c r="W56" s="133"/>
      <c r="X56" s="133"/>
      <c r="Y56" s="133"/>
      <c r="Z56" s="133"/>
      <c r="AA56" s="133"/>
      <c r="AB56" s="130"/>
      <c r="AC56" s="130"/>
      <c r="AD56" s="130"/>
      <c r="AE56" s="130"/>
      <c r="AF56" s="130"/>
      <c r="AG56" s="130"/>
      <c r="AH56" s="130"/>
      <c r="AI56" s="130"/>
      <c r="AJ56" s="130"/>
      <c r="AK56" s="130"/>
      <c r="AL56" s="130"/>
      <c r="AM56" s="130"/>
      <c r="AN56" s="130"/>
    </row>
    <row r="57">
      <c r="A57" s="354" t="s">
        <v>430</v>
      </c>
      <c r="B57" s="355">
        <v>55.0</v>
      </c>
      <c r="C57" s="356">
        <v>55.0</v>
      </c>
      <c r="D57" s="356">
        <v>55.0</v>
      </c>
      <c r="E57" s="356">
        <v>58.0</v>
      </c>
      <c r="F57" s="356">
        <v>13.0</v>
      </c>
      <c r="G57" s="356">
        <v>39.0</v>
      </c>
      <c r="H57" s="356">
        <v>68.0</v>
      </c>
      <c r="I57" s="356">
        <v>34.0</v>
      </c>
      <c r="J57" s="356">
        <v>13.0</v>
      </c>
      <c r="K57" s="356">
        <v>47.0</v>
      </c>
      <c r="L57" s="356">
        <v>55.0</v>
      </c>
      <c r="M57" s="356">
        <v>55.0</v>
      </c>
      <c r="N57" s="356">
        <v>68.0</v>
      </c>
      <c r="O57" s="356">
        <v>42.0</v>
      </c>
      <c r="P57" s="356">
        <v>0.0</v>
      </c>
      <c r="Q57" s="356">
        <v>16.0</v>
      </c>
      <c r="R57" s="356">
        <v>13.0</v>
      </c>
      <c r="S57" s="356">
        <v>42.0</v>
      </c>
      <c r="T57" s="356">
        <v>34.0</v>
      </c>
      <c r="U57" s="361">
        <v>37.0</v>
      </c>
      <c r="V57" s="356"/>
      <c r="W57" s="356"/>
      <c r="X57" s="356"/>
      <c r="Y57" s="356"/>
      <c r="Z57" s="356"/>
      <c r="AA57" s="356"/>
      <c r="AB57" s="358"/>
      <c r="AC57" s="358"/>
      <c r="AD57" s="358"/>
      <c r="AE57" s="358"/>
      <c r="AF57" s="358"/>
      <c r="AG57" s="358"/>
      <c r="AH57" s="358"/>
      <c r="AI57" s="358"/>
      <c r="AJ57" s="358"/>
      <c r="AK57" s="358"/>
      <c r="AL57" s="358"/>
      <c r="AM57" s="358"/>
      <c r="AN57" s="358"/>
    </row>
    <row r="58">
      <c r="A58" s="362" t="s">
        <v>367</v>
      </c>
      <c r="B58" s="326" t="s">
        <v>431</v>
      </c>
      <c r="C58" s="326" t="s">
        <v>432</v>
      </c>
      <c r="F58" s="333" t="s">
        <v>433</v>
      </c>
      <c r="G58" s="333" t="s">
        <v>434</v>
      </c>
      <c r="H58" s="333" t="s">
        <v>435</v>
      </c>
      <c r="I58" s="333" t="s">
        <v>436</v>
      </c>
      <c r="K58" s="333" t="s">
        <v>437</v>
      </c>
      <c r="N58" s="334" t="s">
        <v>438</v>
      </c>
      <c r="O58" s="335" t="s">
        <v>439</v>
      </c>
      <c r="R58" s="329" t="s">
        <v>440</v>
      </c>
      <c r="S58" s="333" t="s">
        <v>441</v>
      </c>
      <c r="T58" s="336" t="s">
        <v>442</v>
      </c>
      <c r="U58" s="343" t="s">
        <v>443</v>
      </c>
    </row>
    <row r="59">
      <c r="A59" s="363" t="s">
        <v>444</v>
      </c>
      <c r="B59" s="364">
        <v>0.0</v>
      </c>
      <c r="C59" s="357">
        <v>0.0</v>
      </c>
      <c r="D59" s="357">
        <v>0.0</v>
      </c>
      <c r="E59" s="357">
        <v>0.0</v>
      </c>
      <c r="F59" s="357">
        <v>0.0</v>
      </c>
      <c r="G59" s="357">
        <v>0.0</v>
      </c>
      <c r="H59" s="357">
        <v>0.0</v>
      </c>
      <c r="I59" s="357">
        <v>0.0</v>
      </c>
      <c r="J59" s="357">
        <v>0.0</v>
      </c>
      <c r="K59" s="357">
        <v>0.0</v>
      </c>
      <c r="L59" s="357">
        <v>0.0</v>
      </c>
      <c r="M59" s="357">
        <v>0.0</v>
      </c>
      <c r="N59" s="357">
        <v>0.0</v>
      </c>
      <c r="O59" s="357">
        <v>0.0</v>
      </c>
      <c r="P59" s="357">
        <v>0.0</v>
      </c>
      <c r="Q59" s="357">
        <v>0.0</v>
      </c>
      <c r="R59" s="357">
        <v>0.0</v>
      </c>
      <c r="S59" s="357">
        <v>0.0</v>
      </c>
      <c r="T59" s="357">
        <v>0.0</v>
      </c>
      <c r="U59" s="365">
        <v>0.0</v>
      </c>
      <c r="V59" s="366"/>
      <c r="W59" s="366"/>
      <c r="X59" s="366"/>
      <c r="Y59" s="366"/>
      <c r="Z59" s="366"/>
      <c r="AA59" s="366"/>
      <c r="AB59" s="366"/>
      <c r="AC59" s="366"/>
      <c r="AD59" s="366"/>
      <c r="AE59" s="366"/>
      <c r="AF59" s="366"/>
      <c r="AG59" s="366"/>
      <c r="AH59" s="366"/>
      <c r="AI59" s="366"/>
      <c r="AJ59" s="366"/>
      <c r="AK59" s="366"/>
      <c r="AL59" s="366"/>
      <c r="AM59" s="366"/>
      <c r="AN59" s="366"/>
    </row>
    <row r="60">
      <c r="A60" s="362" t="s">
        <v>367</v>
      </c>
      <c r="B60" s="138"/>
      <c r="K60" s="333" t="s">
        <v>445</v>
      </c>
      <c r="U60" s="31"/>
    </row>
    <row r="61">
      <c r="A61" s="363" t="s">
        <v>446</v>
      </c>
      <c r="B61" s="364">
        <v>50.0</v>
      </c>
      <c r="C61" s="357">
        <v>63.0</v>
      </c>
      <c r="D61" s="357">
        <v>47.0</v>
      </c>
      <c r="E61" s="357">
        <v>65.0</v>
      </c>
      <c r="F61" s="357">
        <v>21.0</v>
      </c>
      <c r="G61" s="357">
        <v>47.0</v>
      </c>
      <c r="H61" s="357">
        <v>63.0</v>
      </c>
      <c r="I61" s="357">
        <v>34.0</v>
      </c>
      <c r="J61" s="357">
        <v>50.0</v>
      </c>
      <c r="K61" s="357">
        <v>55.0</v>
      </c>
      <c r="L61" s="357">
        <v>55.0</v>
      </c>
      <c r="M61" s="357">
        <v>55.0</v>
      </c>
      <c r="N61" s="357">
        <v>97.0</v>
      </c>
      <c r="O61" s="357">
        <v>34.0</v>
      </c>
      <c r="P61" s="357">
        <v>42.0</v>
      </c>
      <c r="Q61" s="357">
        <v>37.0</v>
      </c>
      <c r="R61" s="357">
        <v>24.0</v>
      </c>
      <c r="S61" s="357">
        <v>36.0</v>
      </c>
      <c r="T61" s="357">
        <v>31.0</v>
      </c>
      <c r="U61" s="365">
        <v>32.0</v>
      </c>
      <c r="V61" s="366"/>
      <c r="W61" s="366"/>
      <c r="X61" s="366"/>
      <c r="Y61" s="366"/>
      <c r="Z61" s="366"/>
      <c r="AA61" s="366"/>
      <c r="AB61" s="366"/>
      <c r="AC61" s="366"/>
      <c r="AD61" s="366"/>
      <c r="AE61" s="366"/>
      <c r="AF61" s="366"/>
      <c r="AG61" s="366"/>
      <c r="AH61" s="366"/>
      <c r="AI61" s="366"/>
      <c r="AJ61" s="366"/>
      <c r="AK61" s="366"/>
      <c r="AL61" s="366"/>
      <c r="AM61" s="366"/>
      <c r="AN61" s="366"/>
    </row>
    <row r="62">
      <c r="A62" s="362" t="s">
        <v>367</v>
      </c>
      <c r="B62" s="138"/>
      <c r="D62" s="333" t="s">
        <v>447</v>
      </c>
      <c r="E62" s="333" t="s">
        <v>448</v>
      </c>
      <c r="H62" s="333" t="s">
        <v>449</v>
      </c>
      <c r="J62" s="333" t="s">
        <v>450</v>
      </c>
      <c r="L62" s="333" t="s">
        <v>451</v>
      </c>
      <c r="M62" s="333" t="s">
        <v>452</v>
      </c>
      <c r="N62" s="334" t="s">
        <v>453</v>
      </c>
      <c r="O62" s="367" t="s">
        <v>454</v>
      </c>
      <c r="P62" s="336" t="s">
        <v>455</v>
      </c>
      <c r="Q62" s="337" t="s">
        <v>456</v>
      </c>
      <c r="R62" s="329" t="s">
        <v>457</v>
      </c>
      <c r="S62" s="333" t="s">
        <v>458</v>
      </c>
      <c r="T62" s="336" t="s">
        <v>459</v>
      </c>
      <c r="U62" s="343" t="s">
        <v>460</v>
      </c>
    </row>
    <row r="63">
      <c r="A63" s="368" t="s">
        <v>461</v>
      </c>
      <c r="B63" s="369"/>
      <c r="C63" s="366"/>
      <c r="D63" s="370"/>
      <c r="E63" s="370"/>
      <c r="F63" s="366"/>
      <c r="G63" s="366"/>
      <c r="H63" s="370"/>
      <c r="I63" s="366"/>
      <c r="J63" s="370"/>
      <c r="K63" s="366"/>
      <c r="L63" s="370"/>
      <c r="M63" s="370"/>
      <c r="N63" s="371"/>
      <c r="O63" s="372"/>
      <c r="P63" s="373"/>
      <c r="Q63" s="373"/>
      <c r="R63" s="374"/>
      <c r="S63" s="370"/>
      <c r="T63" s="373"/>
      <c r="U63" s="365"/>
      <c r="V63" s="366"/>
      <c r="W63" s="366"/>
      <c r="X63" s="366"/>
      <c r="Y63" s="366"/>
      <c r="Z63" s="366"/>
      <c r="AA63" s="366"/>
      <c r="AB63" s="366"/>
      <c r="AC63" s="366"/>
      <c r="AD63" s="366"/>
      <c r="AE63" s="366"/>
      <c r="AF63" s="366"/>
      <c r="AG63" s="366"/>
      <c r="AH63" s="366"/>
      <c r="AI63" s="366"/>
      <c r="AJ63" s="366"/>
      <c r="AK63" s="366"/>
      <c r="AL63" s="366"/>
      <c r="AM63" s="366"/>
      <c r="AN63" s="366"/>
    </row>
    <row r="64">
      <c r="A64" s="362" t="s">
        <v>367</v>
      </c>
      <c r="B64" s="138"/>
      <c r="D64" s="375"/>
      <c r="E64" s="375"/>
      <c r="H64" s="375"/>
      <c r="J64" s="375"/>
      <c r="L64" s="375"/>
      <c r="M64" s="375"/>
      <c r="N64" s="334"/>
      <c r="O64" s="376"/>
      <c r="P64" s="336"/>
      <c r="Q64" s="337"/>
      <c r="R64" s="329"/>
      <c r="S64" s="375"/>
      <c r="T64" s="336"/>
      <c r="U64" s="31"/>
    </row>
    <row r="65">
      <c r="A65" s="344" t="s">
        <v>46</v>
      </c>
      <c r="B65" s="377">
        <f t="shared" ref="B65:T65" si="23">B66+B67+B68+B69</f>
        <v>223</v>
      </c>
      <c r="C65" s="377">
        <f t="shared" si="23"/>
        <v>187</v>
      </c>
      <c r="D65" s="377">
        <f t="shared" si="23"/>
        <v>131</v>
      </c>
      <c r="E65" s="377">
        <f t="shared" si="23"/>
        <v>202</v>
      </c>
      <c r="F65" s="377">
        <f t="shared" si="23"/>
        <v>110</v>
      </c>
      <c r="G65" s="377">
        <f t="shared" si="23"/>
        <v>157</v>
      </c>
      <c r="H65" s="377">
        <f t="shared" si="23"/>
        <v>199</v>
      </c>
      <c r="I65" s="377">
        <f t="shared" si="23"/>
        <v>97</v>
      </c>
      <c r="J65" s="377">
        <f t="shared" si="23"/>
        <v>143</v>
      </c>
      <c r="K65" s="377">
        <f t="shared" si="23"/>
        <v>141</v>
      </c>
      <c r="L65" s="377">
        <f t="shared" si="23"/>
        <v>165</v>
      </c>
      <c r="M65" s="377">
        <f t="shared" si="23"/>
        <v>210</v>
      </c>
      <c r="N65" s="377">
        <f t="shared" si="23"/>
        <v>241</v>
      </c>
      <c r="O65" s="377">
        <f t="shared" si="23"/>
        <v>116</v>
      </c>
      <c r="P65" s="377">
        <f t="shared" si="23"/>
        <v>100</v>
      </c>
      <c r="Q65" s="377">
        <f t="shared" si="23"/>
        <v>74</v>
      </c>
      <c r="R65" s="377">
        <f t="shared" si="23"/>
        <v>92</v>
      </c>
      <c r="S65" s="377">
        <f t="shared" si="23"/>
        <v>114</v>
      </c>
      <c r="T65" s="377">
        <f t="shared" si="23"/>
        <v>94</v>
      </c>
      <c r="U65" s="377">
        <f>U66+U67+U68+U69+U70</f>
        <v>132</v>
      </c>
      <c r="V65" s="378"/>
      <c r="W65" s="378"/>
      <c r="X65" s="378"/>
      <c r="Y65" s="378"/>
      <c r="Z65" s="378"/>
      <c r="AA65" s="378"/>
      <c r="AB65" s="378"/>
      <c r="AC65" s="378"/>
      <c r="AD65" s="378"/>
      <c r="AE65" s="378"/>
      <c r="AF65" s="378"/>
      <c r="AG65" s="378"/>
      <c r="AH65" s="378"/>
      <c r="AI65" s="378"/>
      <c r="AJ65" s="378"/>
      <c r="AK65" s="378"/>
      <c r="AL65" s="378"/>
      <c r="AM65" s="378"/>
      <c r="AN65" s="378"/>
    </row>
    <row r="66">
      <c r="A66" s="363" t="s">
        <v>414</v>
      </c>
      <c r="B66" s="364">
        <v>89.0</v>
      </c>
      <c r="C66" s="357">
        <v>66.0</v>
      </c>
      <c r="D66" s="357">
        <v>42.0</v>
      </c>
      <c r="E66" s="357">
        <v>71.0</v>
      </c>
      <c r="F66" s="357">
        <v>34.0</v>
      </c>
      <c r="G66" s="357">
        <v>50.0</v>
      </c>
      <c r="H66" s="357">
        <v>63.0</v>
      </c>
      <c r="I66" s="357">
        <v>42.0</v>
      </c>
      <c r="J66" s="357">
        <v>58.0</v>
      </c>
      <c r="K66" s="357">
        <v>31.0</v>
      </c>
      <c r="L66" s="357">
        <v>55.0</v>
      </c>
      <c r="M66" s="357">
        <v>34.0</v>
      </c>
      <c r="N66" s="357">
        <v>76.0</v>
      </c>
      <c r="O66" s="357">
        <v>60.0</v>
      </c>
      <c r="P66" s="357">
        <v>42.0</v>
      </c>
      <c r="Q66" s="357">
        <v>21.0</v>
      </c>
      <c r="R66" s="357">
        <v>21.0</v>
      </c>
      <c r="S66" s="357">
        <v>26.0</v>
      </c>
      <c r="T66" s="357">
        <v>29.0</v>
      </c>
      <c r="U66" s="365">
        <v>21.0</v>
      </c>
      <c r="V66" s="366"/>
      <c r="W66" s="366"/>
      <c r="X66" s="366"/>
      <c r="Y66" s="366"/>
      <c r="Z66" s="366"/>
      <c r="AA66" s="366"/>
      <c r="AB66" s="366"/>
      <c r="AC66" s="366"/>
      <c r="AD66" s="366"/>
      <c r="AE66" s="366"/>
      <c r="AF66" s="366"/>
      <c r="AG66" s="366"/>
      <c r="AH66" s="366"/>
      <c r="AI66" s="366"/>
      <c r="AJ66" s="366"/>
      <c r="AK66" s="366"/>
      <c r="AL66" s="366"/>
      <c r="AM66" s="366"/>
      <c r="AN66" s="366"/>
    </row>
    <row r="67">
      <c r="A67" s="363" t="s">
        <v>430</v>
      </c>
      <c r="B67" s="364">
        <v>71.0</v>
      </c>
      <c r="C67" s="357">
        <v>55.0</v>
      </c>
      <c r="D67" s="357">
        <v>21.0</v>
      </c>
      <c r="E67" s="357">
        <v>58.0</v>
      </c>
      <c r="F67" s="357">
        <v>34.0</v>
      </c>
      <c r="G67" s="357">
        <v>39.0</v>
      </c>
      <c r="H67" s="357">
        <v>73.0</v>
      </c>
      <c r="I67" s="357">
        <v>21.0</v>
      </c>
      <c r="J67" s="357">
        <v>34.0</v>
      </c>
      <c r="K67" s="357">
        <v>55.0</v>
      </c>
      <c r="L67" s="357">
        <v>55.0</v>
      </c>
      <c r="M67" s="357">
        <v>66.0</v>
      </c>
      <c r="N67" s="357">
        <v>68.0</v>
      </c>
      <c r="O67" s="357">
        <v>0.0</v>
      </c>
      <c r="P67" s="357">
        <v>0.0</v>
      </c>
      <c r="Q67" s="357">
        <v>16.0</v>
      </c>
      <c r="R67" s="357">
        <v>13.0</v>
      </c>
      <c r="S67" s="357">
        <v>42.0</v>
      </c>
      <c r="T67" s="357">
        <v>34.0</v>
      </c>
      <c r="U67" s="365">
        <v>37.0</v>
      </c>
      <c r="V67" s="366"/>
      <c r="W67" s="366"/>
      <c r="X67" s="366"/>
      <c r="Y67" s="366"/>
      <c r="Z67" s="366"/>
      <c r="AA67" s="366"/>
      <c r="AB67" s="366"/>
      <c r="AC67" s="366"/>
      <c r="AD67" s="366"/>
      <c r="AE67" s="366"/>
      <c r="AF67" s="366"/>
      <c r="AG67" s="366"/>
      <c r="AH67" s="366"/>
      <c r="AI67" s="366"/>
      <c r="AJ67" s="366"/>
      <c r="AK67" s="366"/>
      <c r="AL67" s="366"/>
      <c r="AM67" s="366"/>
      <c r="AN67" s="366"/>
    </row>
    <row r="68">
      <c r="A68" s="363" t="s">
        <v>444</v>
      </c>
      <c r="B68" s="364">
        <v>0.0</v>
      </c>
      <c r="C68" s="357">
        <v>0.0</v>
      </c>
      <c r="D68" s="357">
        <v>0.0</v>
      </c>
      <c r="E68" s="357">
        <v>0.0</v>
      </c>
      <c r="F68" s="357">
        <v>0.0</v>
      </c>
      <c r="G68" s="357">
        <v>0.0</v>
      </c>
      <c r="H68" s="357">
        <v>0.0</v>
      </c>
      <c r="I68" s="357">
        <v>0.0</v>
      </c>
      <c r="J68" s="357">
        <v>0.0</v>
      </c>
      <c r="K68" s="357">
        <v>0.0</v>
      </c>
      <c r="L68" s="357">
        <v>0.0</v>
      </c>
      <c r="M68" s="357">
        <v>0.0</v>
      </c>
      <c r="N68" s="357">
        <v>0.0</v>
      </c>
      <c r="O68" s="357">
        <v>0.0</v>
      </c>
      <c r="P68" s="357">
        <v>0.0</v>
      </c>
      <c r="Q68" s="357">
        <v>0.0</v>
      </c>
      <c r="R68" s="357">
        <v>0.0</v>
      </c>
      <c r="S68" s="357">
        <v>0.0</v>
      </c>
      <c r="T68" s="357">
        <v>0.0</v>
      </c>
      <c r="U68" s="365">
        <v>0.0</v>
      </c>
      <c r="V68" s="366"/>
      <c r="W68" s="366"/>
      <c r="X68" s="366"/>
      <c r="Y68" s="366"/>
      <c r="Z68" s="366"/>
      <c r="AA68" s="366"/>
      <c r="AB68" s="366"/>
      <c r="AC68" s="366"/>
      <c r="AD68" s="366"/>
      <c r="AE68" s="366"/>
      <c r="AF68" s="366"/>
      <c r="AG68" s="366"/>
      <c r="AH68" s="366"/>
      <c r="AI68" s="366"/>
      <c r="AJ68" s="366"/>
      <c r="AK68" s="366"/>
      <c r="AL68" s="366"/>
      <c r="AM68" s="366"/>
      <c r="AN68" s="366"/>
    </row>
    <row r="69">
      <c r="A69" s="363" t="s">
        <v>446</v>
      </c>
      <c r="B69" s="364">
        <v>63.0</v>
      </c>
      <c r="C69" s="357">
        <v>66.0</v>
      </c>
      <c r="D69" s="357">
        <v>68.0</v>
      </c>
      <c r="E69" s="357">
        <v>73.0</v>
      </c>
      <c r="F69" s="357">
        <v>42.0</v>
      </c>
      <c r="G69" s="357">
        <v>68.0</v>
      </c>
      <c r="H69" s="357">
        <v>63.0</v>
      </c>
      <c r="I69" s="357">
        <v>34.0</v>
      </c>
      <c r="J69" s="357">
        <v>51.0</v>
      </c>
      <c r="K69" s="357">
        <v>55.0</v>
      </c>
      <c r="L69" s="357">
        <v>55.0</v>
      </c>
      <c r="M69" s="357">
        <v>110.0</v>
      </c>
      <c r="N69" s="357">
        <v>97.0</v>
      </c>
      <c r="O69" s="357">
        <v>56.0</v>
      </c>
      <c r="P69" s="357">
        <v>58.0</v>
      </c>
      <c r="Q69" s="357">
        <v>37.0</v>
      </c>
      <c r="R69" s="357">
        <v>58.0</v>
      </c>
      <c r="S69" s="357">
        <v>46.0</v>
      </c>
      <c r="T69" s="357">
        <v>31.0</v>
      </c>
      <c r="U69" s="365">
        <v>40.0</v>
      </c>
      <c r="V69" s="366"/>
      <c r="W69" s="366"/>
      <c r="X69" s="366"/>
      <c r="Y69" s="366"/>
      <c r="Z69" s="366"/>
      <c r="AA69" s="366"/>
      <c r="AB69" s="366"/>
      <c r="AC69" s="366"/>
      <c r="AD69" s="366"/>
      <c r="AE69" s="366"/>
      <c r="AF69" s="366"/>
      <c r="AG69" s="366"/>
      <c r="AH69" s="366"/>
      <c r="AI69" s="366"/>
      <c r="AJ69" s="366"/>
      <c r="AK69" s="366"/>
      <c r="AL69" s="366"/>
      <c r="AM69" s="366"/>
      <c r="AN69" s="366"/>
    </row>
    <row r="70">
      <c r="A70" s="368" t="s">
        <v>461</v>
      </c>
      <c r="B70" s="364"/>
      <c r="C70" s="357"/>
      <c r="D70" s="357"/>
      <c r="E70" s="357"/>
      <c r="F70" s="357"/>
      <c r="G70" s="357"/>
      <c r="H70" s="357"/>
      <c r="I70" s="357"/>
      <c r="J70" s="357"/>
      <c r="K70" s="357"/>
      <c r="L70" s="357"/>
      <c r="M70" s="357"/>
      <c r="N70" s="357"/>
      <c r="O70" s="357"/>
      <c r="P70" s="357"/>
      <c r="Q70" s="357"/>
      <c r="R70" s="357"/>
      <c r="S70" s="357"/>
      <c r="T70" s="357"/>
      <c r="U70" s="365">
        <v>34.0</v>
      </c>
      <c r="V70" s="366"/>
      <c r="W70" s="366"/>
      <c r="X70" s="366"/>
      <c r="Y70" s="366"/>
      <c r="Z70" s="366"/>
      <c r="AA70" s="366"/>
      <c r="AB70" s="366"/>
      <c r="AC70" s="366"/>
      <c r="AD70" s="366"/>
      <c r="AE70" s="366"/>
      <c r="AF70" s="366"/>
      <c r="AG70" s="366"/>
      <c r="AH70" s="366"/>
      <c r="AI70" s="366"/>
      <c r="AJ70" s="366"/>
      <c r="AK70" s="366"/>
      <c r="AL70" s="366"/>
      <c r="AM70" s="366"/>
      <c r="AN70" s="366"/>
    </row>
    <row r="71">
      <c r="A71" s="379"/>
      <c r="B71" s="138"/>
      <c r="U71" s="31"/>
    </row>
    <row r="72">
      <c r="A72" s="380" t="s">
        <v>462</v>
      </c>
      <c r="B72" s="381"/>
      <c r="C72" s="382"/>
      <c r="D72" s="382"/>
      <c r="E72" s="382"/>
      <c r="F72" s="382"/>
      <c r="G72" s="382"/>
      <c r="H72" s="382"/>
      <c r="I72" s="382"/>
      <c r="J72" s="382"/>
      <c r="K72" s="382"/>
      <c r="L72" s="382"/>
      <c r="M72" s="382"/>
      <c r="N72" s="382"/>
      <c r="O72" s="382"/>
      <c r="P72" s="382"/>
      <c r="Q72" s="382"/>
      <c r="R72" s="382"/>
      <c r="S72" s="382"/>
      <c r="T72" s="382"/>
      <c r="U72" s="383"/>
      <c r="V72" s="382"/>
      <c r="W72" s="382"/>
      <c r="X72" s="382"/>
      <c r="Y72" s="382"/>
      <c r="Z72" s="382"/>
      <c r="AA72" s="382"/>
      <c r="AB72" s="382"/>
      <c r="AC72" s="382"/>
      <c r="AD72" s="382"/>
      <c r="AE72" s="382"/>
      <c r="AF72" s="382"/>
      <c r="AG72" s="382"/>
      <c r="AH72" s="382"/>
      <c r="AI72" s="382"/>
      <c r="AJ72" s="382"/>
      <c r="AK72" s="382"/>
      <c r="AL72" s="382"/>
      <c r="AM72" s="382"/>
      <c r="AN72" s="382"/>
    </row>
    <row r="73">
      <c r="A73" s="344" t="s">
        <v>45</v>
      </c>
      <c r="B73" s="384">
        <f t="shared" ref="B73:T73" si="24">B74+B75</f>
        <v>50</v>
      </c>
      <c r="C73" s="384">
        <f t="shared" si="24"/>
        <v>44</v>
      </c>
      <c r="D73" s="384">
        <f t="shared" si="24"/>
        <v>33</v>
      </c>
      <c r="E73" s="384">
        <f t="shared" si="24"/>
        <v>49</v>
      </c>
      <c r="F73" s="384">
        <f t="shared" si="24"/>
        <v>49</v>
      </c>
      <c r="G73" s="384">
        <f t="shared" si="24"/>
        <v>68</v>
      </c>
      <c r="H73" s="384">
        <f t="shared" si="24"/>
        <v>50</v>
      </c>
      <c r="I73" s="384">
        <f t="shared" si="24"/>
        <v>34</v>
      </c>
      <c r="J73" s="384">
        <f t="shared" si="24"/>
        <v>59</v>
      </c>
      <c r="K73" s="384">
        <f t="shared" si="24"/>
        <v>61</v>
      </c>
      <c r="L73" s="384">
        <f t="shared" si="24"/>
        <v>69</v>
      </c>
      <c r="M73" s="384">
        <f t="shared" si="24"/>
        <v>70</v>
      </c>
      <c r="N73" s="384">
        <f t="shared" si="24"/>
        <v>40</v>
      </c>
      <c r="O73" s="384">
        <f t="shared" si="24"/>
        <v>47</v>
      </c>
      <c r="P73" s="384">
        <f t="shared" si="24"/>
        <v>56</v>
      </c>
      <c r="Q73" s="384">
        <f t="shared" si="24"/>
        <v>43</v>
      </c>
      <c r="R73" s="384">
        <f t="shared" si="24"/>
        <v>23</v>
      </c>
      <c r="S73" s="384">
        <f t="shared" si="24"/>
        <v>39</v>
      </c>
      <c r="T73" s="384">
        <f t="shared" si="24"/>
        <v>36</v>
      </c>
      <c r="U73" s="385"/>
      <c r="V73" s="386"/>
      <c r="W73" s="386"/>
      <c r="X73" s="386"/>
      <c r="Y73" s="386"/>
      <c r="Z73" s="386"/>
      <c r="AA73" s="386"/>
      <c r="AB73" s="386"/>
      <c r="AC73" s="386"/>
      <c r="AD73" s="386"/>
      <c r="AE73" s="386"/>
      <c r="AF73" s="386"/>
      <c r="AG73" s="386"/>
      <c r="AH73" s="386"/>
      <c r="AI73" s="386"/>
      <c r="AJ73" s="386"/>
      <c r="AK73" s="386"/>
      <c r="AL73" s="386"/>
      <c r="AM73" s="386"/>
      <c r="AN73" s="386"/>
    </row>
    <row r="74">
      <c r="A74" s="387" t="s">
        <v>463</v>
      </c>
      <c r="B74" s="388">
        <v>26.0</v>
      </c>
      <c r="C74" s="388">
        <v>29.0</v>
      </c>
      <c r="D74" s="388">
        <v>15.0</v>
      </c>
      <c r="E74" s="388">
        <v>19.0</v>
      </c>
      <c r="F74" s="388">
        <v>33.0</v>
      </c>
      <c r="G74" s="388">
        <v>34.0</v>
      </c>
      <c r="H74" s="388">
        <v>36.0</v>
      </c>
      <c r="I74" s="388">
        <v>18.0</v>
      </c>
      <c r="J74" s="388">
        <v>31.0</v>
      </c>
      <c r="K74" s="388">
        <v>31.0</v>
      </c>
      <c r="L74" s="388">
        <v>28.0</v>
      </c>
      <c r="M74" s="388">
        <v>36.0</v>
      </c>
      <c r="N74" s="388">
        <v>40.0</v>
      </c>
      <c r="O74" s="388">
        <v>18.0</v>
      </c>
      <c r="P74" s="388">
        <v>23.0</v>
      </c>
      <c r="Q74" s="388">
        <v>15.0</v>
      </c>
      <c r="R74" s="388">
        <v>10.0</v>
      </c>
      <c r="S74" s="388">
        <v>15.0</v>
      </c>
      <c r="T74" s="388">
        <v>7.0</v>
      </c>
      <c r="U74" s="389"/>
      <c r="V74" s="390"/>
      <c r="W74" s="390"/>
      <c r="X74" s="390"/>
      <c r="Y74" s="390"/>
      <c r="Z74" s="390"/>
      <c r="AA74" s="390"/>
      <c r="AB74" s="390"/>
      <c r="AC74" s="390"/>
      <c r="AD74" s="390"/>
      <c r="AE74" s="390"/>
      <c r="AF74" s="390"/>
      <c r="AG74" s="390"/>
      <c r="AH74" s="390"/>
      <c r="AI74" s="390"/>
      <c r="AJ74" s="390"/>
      <c r="AK74" s="390"/>
      <c r="AL74" s="390"/>
      <c r="AM74" s="390"/>
      <c r="AN74" s="390"/>
    </row>
    <row r="75">
      <c r="A75" s="387" t="s">
        <v>464</v>
      </c>
      <c r="B75" s="388">
        <v>24.0</v>
      </c>
      <c r="C75" s="388">
        <v>15.0</v>
      </c>
      <c r="D75" s="388">
        <v>18.0</v>
      </c>
      <c r="E75" s="388">
        <v>30.0</v>
      </c>
      <c r="F75" s="388">
        <v>16.0</v>
      </c>
      <c r="G75" s="388">
        <v>34.0</v>
      </c>
      <c r="H75" s="388">
        <v>14.0</v>
      </c>
      <c r="I75" s="388">
        <v>16.0</v>
      </c>
      <c r="J75" s="388">
        <v>28.0</v>
      </c>
      <c r="K75" s="388">
        <v>30.0</v>
      </c>
      <c r="L75" s="388">
        <v>41.0</v>
      </c>
      <c r="M75" s="388">
        <v>34.0</v>
      </c>
      <c r="N75" s="388">
        <v>0.0</v>
      </c>
      <c r="O75" s="388">
        <v>29.0</v>
      </c>
      <c r="P75" s="388">
        <v>33.0</v>
      </c>
      <c r="Q75" s="388">
        <v>28.0</v>
      </c>
      <c r="R75" s="388">
        <v>13.0</v>
      </c>
      <c r="S75" s="388">
        <v>24.0</v>
      </c>
      <c r="T75" s="388">
        <v>29.0</v>
      </c>
      <c r="U75" s="389"/>
      <c r="V75" s="390"/>
      <c r="W75" s="390"/>
      <c r="X75" s="390"/>
      <c r="Y75" s="390"/>
      <c r="Z75" s="390"/>
      <c r="AA75" s="390"/>
      <c r="AB75" s="390"/>
      <c r="AC75" s="390"/>
      <c r="AD75" s="390"/>
      <c r="AE75" s="390"/>
      <c r="AF75" s="390"/>
      <c r="AG75" s="390"/>
      <c r="AH75" s="390"/>
      <c r="AI75" s="390"/>
      <c r="AJ75" s="390"/>
      <c r="AK75" s="390"/>
      <c r="AL75" s="390"/>
      <c r="AM75" s="390"/>
      <c r="AN75" s="390"/>
    </row>
    <row r="76">
      <c r="A76" s="344" t="s">
        <v>46</v>
      </c>
      <c r="B76" s="378">
        <f t="shared" ref="B76:T76" si="25">B77+B78</f>
        <v>50</v>
      </c>
      <c r="C76" s="378">
        <f t="shared" si="25"/>
        <v>44</v>
      </c>
      <c r="D76" s="378">
        <f t="shared" si="25"/>
        <v>33</v>
      </c>
      <c r="E76" s="378">
        <f t="shared" si="25"/>
        <v>31</v>
      </c>
      <c r="F76" s="378">
        <f t="shared" si="25"/>
        <v>31</v>
      </c>
      <c r="G76" s="378">
        <f t="shared" si="25"/>
        <v>45</v>
      </c>
      <c r="H76" s="378">
        <f t="shared" si="25"/>
        <v>27</v>
      </c>
      <c r="I76" s="378">
        <f t="shared" si="25"/>
        <v>11</v>
      </c>
      <c r="J76" s="378">
        <f t="shared" si="25"/>
        <v>41</v>
      </c>
      <c r="K76" s="378">
        <f t="shared" si="25"/>
        <v>48</v>
      </c>
      <c r="L76" s="378">
        <f t="shared" si="25"/>
        <v>43</v>
      </c>
      <c r="M76" s="378">
        <f t="shared" si="25"/>
        <v>48</v>
      </c>
      <c r="N76" s="378">
        <f t="shared" si="25"/>
        <v>14</v>
      </c>
      <c r="O76" s="378">
        <f t="shared" si="25"/>
        <v>31</v>
      </c>
      <c r="P76" s="378">
        <f t="shared" si="25"/>
        <v>38</v>
      </c>
      <c r="Q76" s="378">
        <f t="shared" si="25"/>
        <v>38</v>
      </c>
      <c r="R76" s="378">
        <f t="shared" si="25"/>
        <v>13</v>
      </c>
      <c r="S76" s="378">
        <f t="shared" si="25"/>
        <v>24</v>
      </c>
      <c r="T76" s="378">
        <f t="shared" si="25"/>
        <v>10</v>
      </c>
      <c r="U76" s="385"/>
      <c r="V76" s="386"/>
      <c r="W76" s="386"/>
      <c r="X76" s="386"/>
      <c r="Y76" s="386"/>
      <c r="Z76" s="386"/>
      <c r="AA76" s="386"/>
      <c r="AB76" s="386"/>
      <c r="AC76" s="386"/>
      <c r="AD76" s="386"/>
      <c r="AE76" s="386"/>
      <c r="AF76" s="386"/>
      <c r="AG76" s="386"/>
      <c r="AH76" s="386"/>
      <c r="AI76" s="386"/>
      <c r="AJ76" s="386"/>
      <c r="AK76" s="386"/>
      <c r="AL76" s="386"/>
      <c r="AM76" s="386"/>
      <c r="AN76" s="386"/>
    </row>
    <row r="77">
      <c r="A77" s="387" t="s">
        <v>463</v>
      </c>
      <c r="B77" s="391">
        <v>26.0</v>
      </c>
      <c r="C77" s="388">
        <v>29.0</v>
      </c>
      <c r="D77" s="388">
        <v>15.0</v>
      </c>
      <c r="E77" s="388">
        <v>6.0</v>
      </c>
      <c r="F77" s="388">
        <v>15.0</v>
      </c>
      <c r="G77" s="388">
        <v>16.0</v>
      </c>
      <c r="H77" s="388">
        <v>18.0</v>
      </c>
      <c r="I77" s="388">
        <v>0.0</v>
      </c>
      <c r="J77" s="388">
        <v>13.0</v>
      </c>
      <c r="K77" s="388">
        <v>18.0</v>
      </c>
      <c r="L77" s="388">
        <v>15.0</v>
      </c>
      <c r="M77" s="388">
        <v>14.0</v>
      </c>
      <c r="N77" s="388">
        <v>14.0</v>
      </c>
      <c r="O77" s="388">
        <v>5.0</v>
      </c>
      <c r="P77" s="388">
        <v>13.0</v>
      </c>
      <c r="Q77" s="388">
        <v>10.0</v>
      </c>
      <c r="R77" s="388">
        <v>5.0</v>
      </c>
      <c r="S77" s="388">
        <v>10.0</v>
      </c>
      <c r="T77" s="388">
        <v>0.0</v>
      </c>
      <c r="U77" s="389"/>
      <c r="V77" s="390"/>
      <c r="W77" s="390"/>
      <c r="X77" s="390"/>
      <c r="Y77" s="390"/>
      <c r="Z77" s="390"/>
      <c r="AA77" s="390"/>
      <c r="AB77" s="390"/>
      <c r="AC77" s="390"/>
      <c r="AD77" s="390"/>
      <c r="AE77" s="390"/>
      <c r="AF77" s="390"/>
      <c r="AG77" s="390"/>
      <c r="AH77" s="390"/>
      <c r="AI77" s="390"/>
      <c r="AJ77" s="390"/>
      <c r="AK77" s="390"/>
      <c r="AL77" s="390"/>
      <c r="AM77" s="390"/>
      <c r="AN77" s="390"/>
    </row>
    <row r="78">
      <c r="A78" s="387" t="s">
        <v>464</v>
      </c>
      <c r="B78" s="391">
        <v>24.0</v>
      </c>
      <c r="C78" s="388">
        <v>15.0</v>
      </c>
      <c r="D78" s="388">
        <v>18.0</v>
      </c>
      <c r="E78" s="388">
        <v>25.0</v>
      </c>
      <c r="F78" s="388">
        <v>16.0</v>
      </c>
      <c r="G78" s="388">
        <v>29.0</v>
      </c>
      <c r="H78" s="388">
        <v>9.0</v>
      </c>
      <c r="I78" s="388">
        <v>11.0</v>
      </c>
      <c r="J78" s="388">
        <v>28.0</v>
      </c>
      <c r="K78" s="388">
        <v>30.0</v>
      </c>
      <c r="L78" s="388">
        <v>28.0</v>
      </c>
      <c r="M78" s="388">
        <v>34.0</v>
      </c>
      <c r="N78" s="388">
        <v>0.0</v>
      </c>
      <c r="O78" s="388">
        <v>26.0</v>
      </c>
      <c r="P78" s="388">
        <v>25.0</v>
      </c>
      <c r="Q78" s="388">
        <v>28.0</v>
      </c>
      <c r="R78" s="388">
        <v>8.0</v>
      </c>
      <c r="S78" s="388">
        <v>14.0</v>
      </c>
      <c r="T78" s="388">
        <v>10.0</v>
      </c>
      <c r="U78" s="389"/>
      <c r="V78" s="390"/>
      <c r="W78" s="390"/>
      <c r="X78" s="390"/>
      <c r="Y78" s="390"/>
      <c r="Z78" s="390"/>
      <c r="AA78" s="390"/>
      <c r="AB78" s="390"/>
      <c r="AC78" s="390"/>
      <c r="AD78" s="390"/>
      <c r="AE78" s="390"/>
      <c r="AF78" s="390"/>
      <c r="AG78" s="390"/>
      <c r="AH78" s="390"/>
      <c r="AI78" s="390"/>
      <c r="AJ78" s="390"/>
      <c r="AK78" s="390"/>
      <c r="AL78" s="390"/>
      <c r="AM78" s="390"/>
      <c r="AN78" s="390"/>
    </row>
    <row r="79">
      <c r="B79" s="138"/>
      <c r="U79" s="31"/>
    </row>
    <row r="80">
      <c r="B80" s="138"/>
      <c r="U80" s="31"/>
    </row>
    <row r="81">
      <c r="B81" s="138"/>
      <c r="U81" s="31"/>
    </row>
    <row r="82">
      <c r="B82" s="138"/>
      <c r="U82" s="31"/>
    </row>
    <row r="83">
      <c r="B83" s="138"/>
      <c r="U83" s="31"/>
    </row>
    <row r="84">
      <c r="B84" s="138"/>
      <c r="U84" s="31"/>
    </row>
    <row r="85">
      <c r="B85" s="138"/>
      <c r="U85" s="31"/>
    </row>
    <row r="86">
      <c r="B86" s="138"/>
      <c r="U86" s="31"/>
    </row>
    <row r="87">
      <c r="B87" s="138"/>
      <c r="U87" s="31"/>
    </row>
    <row r="88">
      <c r="B88" s="138"/>
      <c r="U88" s="31"/>
    </row>
    <row r="89">
      <c r="B89" s="138"/>
      <c r="U89" s="31"/>
    </row>
    <row r="90">
      <c r="B90" s="138"/>
      <c r="U90" s="31"/>
    </row>
    <row r="91">
      <c r="B91" s="138"/>
      <c r="U91" s="31"/>
    </row>
    <row r="92">
      <c r="B92" s="138"/>
      <c r="U92" s="31"/>
    </row>
    <row r="93">
      <c r="B93" s="138"/>
      <c r="U93" s="31"/>
    </row>
    <row r="94">
      <c r="B94" s="138"/>
      <c r="U94" s="31"/>
    </row>
    <row r="95">
      <c r="B95" s="138"/>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sheetData>
  <mergeCells count="16">
    <mergeCell ref="H3:I3"/>
    <mergeCell ref="J3:L3"/>
    <mergeCell ref="M3:N3"/>
    <mergeCell ref="O3:P3"/>
    <mergeCell ref="Q3:R3"/>
    <mergeCell ref="S3:T3"/>
    <mergeCell ref="U3:V3"/>
    <mergeCell ref="W3:Y3"/>
    <mergeCell ref="B2:G2"/>
    <mergeCell ref="H2:N2"/>
    <mergeCell ref="O2:T2"/>
    <mergeCell ref="U2:AA2"/>
    <mergeCell ref="B3:C3"/>
    <mergeCell ref="D3:E3"/>
    <mergeCell ref="F3:G3"/>
    <mergeCell ref="Z3:AA3"/>
  </mergeCells>
  <dataValidations>
    <dataValidation type="list" allowBlank="1" showErrorMessage="1" sqref="B24:AA24 B32:AA32">
      <formula1>"0%,100%"</formula1>
    </dataValidation>
  </dataValidations>
  <hyperlinks>
    <hyperlink r:id="rId2" ref="B23"/>
    <hyperlink r:id="rId3" ref="C23"/>
    <hyperlink r:id="rId4" ref="D23"/>
    <hyperlink r:id="rId5" ref="E23"/>
    <hyperlink r:id="rId6" ref="F23"/>
    <hyperlink r:id="rId7" ref="G23"/>
    <hyperlink r:id="rId8" ref="H23"/>
    <hyperlink r:id="rId9" ref="I23"/>
    <hyperlink r:id="rId10" ref="J23"/>
    <hyperlink r:id="rId11" ref="K23"/>
    <hyperlink r:id="rId12" ref="L23"/>
    <hyperlink r:id="rId13" ref="M23"/>
    <hyperlink r:id="rId14" ref="N23"/>
    <hyperlink r:id="rId15" ref="O23"/>
    <hyperlink r:id="rId16" ref="P23"/>
    <hyperlink r:id="rId17" ref="Q23"/>
    <hyperlink r:id="rId18" ref="S23"/>
    <hyperlink r:id="rId19" ref="T23"/>
    <hyperlink r:id="rId20" ref="U23"/>
    <hyperlink r:id="rId21" ref="C40"/>
    <hyperlink r:id="rId22" ref="D40"/>
    <hyperlink r:id="rId23" ref="J40"/>
    <hyperlink r:id="rId24" ref="L40"/>
    <hyperlink r:id="rId25" ref="M40"/>
    <hyperlink r:id="rId26" ref="P40"/>
    <hyperlink r:id="rId27" ref="S40"/>
    <hyperlink r:id="rId28" ref="B44"/>
    <hyperlink r:id="rId29" ref="D44"/>
    <hyperlink r:id="rId30" ref="E44"/>
    <hyperlink r:id="rId31" ref="F44"/>
    <hyperlink r:id="rId32" ref="G44"/>
    <hyperlink r:id="rId33" ref="H44"/>
    <hyperlink r:id="rId34" ref="I44"/>
    <hyperlink r:id="rId35" ref="J44"/>
    <hyperlink r:id="rId36" ref="K44"/>
    <hyperlink r:id="rId37" ref="N44"/>
    <hyperlink r:id="rId38" ref="O44"/>
    <hyperlink r:id="rId39" ref="P44"/>
    <hyperlink r:id="rId40" ref="Q44"/>
    <hyperlink r:id="rId41" ref="S44"/>
    <hyperlink r:id="rId42" ref="T44"/>
    <hyperlink r:id="rId43" ref="B46"/>
    <hyperlink r:id="rId44" ref="C46"/>
    <hyperlink r:id="rId45" ref="D46"/>
    <hyperlink r:id="rId46" ref="E46"/>
    <hyperlink r:id="rId47" ref="F46"/>
    <hyperlink r:id="rId48" ref="G46"/>
    <hyperlink r:id="rId49" ref="H46"/>
    <hyperlink r:id="rId50" ref="I46"/>
    <hyperlink r:id="rId51" ref="J46"/>
    <hyperlink r:id="rId52" ref="K46"/>
    <hyperlink r:id="rId53" ref="L46"/>
    <hyperlink r:id="rId54" ref="M46"/>
    <hyperlink r:id="rId55" ref="N46"/>
    <hyperlink r:id="rId56" ref="O46"/>
    <hyperlink r:id="rId57" ref="P46"/>
    <hyperlink r:id="rId58" ref="Q46"/>
    <hyperlink r:id="rId59" ref="S46"/>
    <hyperlink r:id="rId60" ref="T46"/>
    <hyperlink r:id="rId61" ref="U46"/>
    <hyperlink r:id="rId62" ref="B56"/>
    <hyperlink r:id="rId63" ref="C56"/>
    <hyperlink r:id="rId64" ref="D56"/>
    <hyperlink r:id="rId65" ref="E56"/>
    <hyperlink r:id="rId66" ref="F56"/>
    <hyperlink r:id="rId67" ref="G56"/>
    <hyperlink r:id="rId68" ref="I56"/>
    <hyperlink r:id="rId69" ref="L56"/>
    <hyperlink r:id="rId70" ref="M56"/>
    <hyperlink r:id="rId71" ref="P56"/>
    <hyperlink r:id="rId72" ref="Q56"/>
    <hyperlink r:id="rId73" ref="S56"/>
    <hyperlink r:id="rId74" ref="T56"/>
    <hyperlink r:id="rId75" ref="U56"/>
    <hyperlink r:id="rId76" ref="B58"/>
    <hyperlink r:id="rId77" ref="C58"/>
    <hyperlink r:id="rId78" ref="F58"/>
    <hyperlink r:id="rId79" ref="G58"/>
    <hyperlink r:id="rId80" ref="H58"/>
    <hyperlink r:id="rId81" ref="I58"/>
    <hyperlink r:id="rId82" ref="K58"/>
    <hyperlink r:id="rId83" ref="N58"/>
    <hyperlink r:id="rId84" ref="O58"/>
    <hyperlink r:id="rId85" ref="S58"/>
    <hyperlink r:id="rId86" ref="T58"/>
    <hyperlink r:id="rId87" ref="U58"/>
    <hyperlink r:id="rId88" ref="K60"/>
    <hyperlink r:id="rId89" ref="D62"/>
    <hyperlink r:id="rId90" ref="E62"/>
    <hyperlink r:id="rId91" ref="H62"/>
    <hyperlink r:id="rId92" ref="J62"/>
    <hyperlink r:id="rId93" ref="L62"/>
    <hyperlink r:id="rId94" ref="M62"/>
    <hyperlink r:id="rId95" ref="N62"/>
    <hyperlink r:id="rId96" ref="O62"/>
    <hyperlink r:id="rId97" ref="P62"/>
    <hyperlink r:id="rId98" ref="Q62"/>
    <hyperlink r:id="rId99" ref="S62"/>
    <hyperlink r:id="rId100" ref="T62"/>
    <hyperlink r:id="rId101" ref="U62"/>
  </hyperlinks>
  <drawing r:id="rId102"/>
  <legacyDrawing r:id="rId10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35.75"/>
    <col customWidth="1" hidden="1" min="2" max="2" width="14.75"/>
    <col hidden="1" min="3" max="4" width="12.63"/>
    <col customWidth="1" hidden="1" min="5" max="5" width="14.0"/>
    <col hidden="1" min="6" max="8" width="12.63"/>
    <col customWidth="1" min="19" max="19" width="17.25"/>
    <col customWidth="1" min="20" max="20" width="13.75"/>
    <col customWidth="1" min="21" max="21" width="15.88"/>
    <col customWidth="1" min="28" max="28" width="13.5"/>
  </cols>
  <sheetData>
    <row r="1" ht="30.0" customHeight="1">
      <c r="A1" s="1" t="s">
        <v>0</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8"/>
      <c r="H2" s="8"/>
      <c r="I2" s="10" t="s">
        <v>3</v>
      </c>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c r="AN2" s="12"/>
    </row>
    <row r="3">
      <c r="A3" s="6" t="s">
        <v>6</v>
      </c>
      <c r="B3" s="13" t="s">
        <v>7</v>
      </c>
      <c r="C3" s="14"/>
      <c r="D3" s="15" t="s">
        <v>8</v>
      </c>
      <c r="E3" s="9"/>
      <c r="F3" s="10" t="s">
        <v>9</v>
      </c>
      <c r="G3" s="9"/>
      <c r="H3" s="15" t="s">
        <v>10</v>
      </c>
      <c r="I3" s="9"/>
      <c r="J3" s="10" t="s">
        <v>11</v>
      </c>
      <c r="K3" s="8"/>
      <c r="L3" s="9"/>
      <c r="M3" s="16" t="s">
        <v>12</v>
      </c>
      <c r="N3" s="9"/>
      <c r="O3" s="10" t="s">
        <v>13</v>
      </c>
      <c r="P3" s="9"/>
      <c r="Q3" s="15" t="s">
        <v>14</v>
      </c>
      <c r="R3" s="9"/>
      <c r="S3" s="10" t="s">
        <v>15</v>
      </c>
      <c r="T3" s="9"/>
      <c r="U3" s="17" t="s">
        <v>16</v>
      </c>
      <c r="V3" s="9"/>
      <c r="W3" s="10" t="s">
        <v>17</v>
      </c>
      <c r="X3" s="8"/>
      <c r="Y3" s="9"/>
      <c r="Z3" s="16" t="s">
        <v>18</v>
      </c>
      <c r="AA3" s="9"/>
      <c r="AB3" s="12"/>
      <c r="AC3" s="12"/>
      <c r="AD3" s="12"/>
      <c r="AE3" s="12"/>
      <c r="AF3" s="12"/>
      <c r="AG3" s="12"/>
      <c r="AH3" s="12"/>
      <c r="AI3" s="12"/>
      <c r="AJ3" s="12"/>
      <c r="AK3" s="12"/>
      <c r="AL3" s="12"/>
      <c r="AM3" s="12"/>
      <c r="AN3" s="12"/>
    </row>
    <row r="4">
      <c r="A4" s="6" t="s">
        <v>19</v>
      </c>
      <c r="B4" s="392" t="s">
        <v>465</v>
      </c>
      <c r="C4" s="392" t="s">
        <v>466</v>
      </c>
      <c r="D4" s="392" t="s">
        <v>467</v>
      </c>
      <c r="E4" s="392" t="s">
        <v>468</v>
      </c>
      <c r="F4" s="392" t="s">
        <v>469</v>
      </c>
      <c r="G4" s="392" t="s">
        <v>470</v>
      </c>
      <c r="H4" s="392" t="s">
        <v>471</v>
      </c>
      <c r="I4" s="392" t="s">
        <v>472</v>
      </c>
      <c r="J4" s="392" t="s">
        <v>473</v>
      </c>
      <c r="K4" s="392" t="s">
        <v>474</v>
      </c>
      <c r="L4" s="392" t="s">
        <v>475</v>
      </c>
      <c r="M4" s="392" t="s">
        <v>476</v>
      </c>
      <c r="N4" s="392" t="s">
        <v>477</v>
      </c>
      <c r="O4" s="392" t="s">
        <v>478</v>
      </c>
      <c r="P4" s="392" t="s">
        <v>479</v>
      </c>
      <c r="Q4" s="392" t="s">
        <v>480</v>
      </c>
      <c r="R4" s="392" t="s">
        <v>481</v>
      </c>
      <c r="S4" s="392" t="s">
        <v>482</v>
      </c>
      <c r="T4" s="392" t="s">
        <v>483</v>
      </c>
      <c r="U4" s="392" t="s">
        <v>484</v>
      </c>
      <c r="V4" s="19"/>
      <c r="W4" s="19"/>
      <c r="X4" s="19"/>
      <c r="Y4" s="19"/>
      <c r="Z4" s="19"/>
      <c r="AA4" s="21"/>
      <c r="AB4" s="12"/>
      <c r="AC4" s="12"/>
      <c r="AD4" s="12"/>
      <c r="AE4" s="12"/>
      <c r="AF4" s="12"/>
      <c r="AG4" s="12"/>
      <c r="AH4" s="12"/>
      <c r="AI4" s="12"/>
      <c r="AJ4" s="12"/>
      <c r="AK4" s="12"/>
      <c r="AL4" s="12"/>
      <c r="AM4" s="12"/>
      <c r="AN4" s="12"/>
    </row>
    <row r="5">
      <c r="A5" s="22" t="s">
        <v>20</v>
      </c>
      <c r="B5" s="392" t="s">
        <v>485</v>
      </c>
      <c r="C5" s="392" t="s">
        <v>486</v>
      </c>
      <c r="D5" s="392" t="s">
        <v>487</v>
      </c>
      <c r="E5" s="392" t="s">
        <v>488</v>
      </c>
      <c r="F5" s="392" t="s">
        <v>489</v>
      </c>
      <c r="G5" s="392" t="s">
        <v>490</v>
      </c>
      <c r="H5" s="392" t="s">
        <v>491</v>
      </c>
      <c r="I5" s="392" t="s">
        <v>485</v>
      </c>
      <c r="J5" s="392" t="s">
        <v>486</v>
      </c>
      <c r="K5" s="392" t="s">
        <v>487</v>
      </c>
      <c r="L5" s="392" t="s">
        <v>488</v>
      </c>
      <c r="M5" s="392" t="s">
        <v>489</v>
      </c>
      <c r="N5" s="392" t="s">
        <v>490</v>
      </c>
      <c r="O5" s="392" t="s">
        <v>486</v>
      </c>
      <c r="P5" s="392" t="s">
        <v>487</v>
      </c>
      <c r="Q5" s="392" t="s">
        <v>488</v>
      </c>
      <c r="R5" s="392" t="s">
        <v>489</v>
      </c>
      <c r="S5" s="24" t="s">
        <v>492</v>
      </c>
      <c r="T5" s="25" t="s">
        <v>493</v>
      </c>
      <c r="U5" s="393" t="s">
        <v>494</v>
      </c>
      <c r="V5" s="25" t="s">
        <v>495</v>
      </c>
      <c r="W5" s="24" t="s">
        <v>496</v>
      </c>
      <c r="X5" s="24"/>
      <c r="Y5" s="24"/>
      <c r="Z5" s="25"/>
      <c r="AA5" s="25"/>
      <c r="AB5" s="27"/>
      <c r="AC5" s="28"/>
      <c r="AD5" s="28"/>
      <c r="AE5" s="28"/>
      <c r="AF5" s="28"/>
      <c r="AG5" s="28"/>
      <c r="AH5" s="28"/>
      <c r="AI5" s="28"/>
      <c r="AJ5" s="28"/>
      <c r="AK5" s="28"/>
      <c r="AL5" s="28"/>
      <c r="AM5" s="28"/>
      <c r="AN5" s="28"/>
    </row>
    <row r="6">
      <c r="A6" s="29"/>
      <c r="B6" s="30"/>
      <c r="U6" s="31"/>
    </row>
    <row r="7">
      <c r="A7" s="32" t="s">
        <v>21</v>
      </c>
      <c r="B7" s="33">
        <f t="shared" ref="B7:B8" si="1">55+8</f>
        <v>63</v>
      </c>
      <c r="C7" s="34">
        <v>105.0</v>
      </c>
      <c r="D7" s="34">
        <v>47.0</v>
      </c>
      <c r="E7" s="34">
        <v>39.0</v>
      </c>
      <c r="F7" s="34">
        <v>37.0</v>
      </c>
      <c r="G7" s="34">
        <v>37.0</v>
      </c>
      <c r="H7" s="34">
        <v>43.0</v>
      </c>
      <c r="I7" s="34">
        <v>29.0</v>
      </c>
      <c r="J7" s="34">
        <v>37.0</v>
      </c>
      <c r="K7" s="34">
        <v>55.0</v>
      </c>
      <c r="L7" s="34">
        <v>41.0</v>
      </c>
      <c r="M7" s="34">
        <v>65.0</v>
      </c>
      <c r="N7" s="34">
        <v>69.0</v>
      </c>
      <c r="O7" s="34">
        <v>88.0</v>
      </c>
      <c r="P7" s="34">
        <v>96.0</v>
      </c>
      <c r="Q7" s="34">
        <v>114.0</v>
      </c>
      <c r="R7" s="34">
        <v>39.0</v>
      </c>
      <c r="S7" s="34">
        <v>112.0</v>
      </c>
      <c r="T7" s="35">
        <v>92.0</v>
      </c>
      <c r="U7" s="36">
        <v>105.0</v>
      </c>
      <c r="V7" s="34">
        <v>117.0</v>
      </c>
      <c r="W7" s="34"/>
      <c r="X7" s="34"/>
      <c r="Y7" s="34"/>
      <c r="Z7" s="34"/>
      <c r="AA7" s="34"/>
    </row>
    <row r="8">
      <c r="A8" s="37" t="s">
        <v>22</v>
      </c>
      <c r="B8" s="38">
        <f t="shared" si="1"/>
        <v>63</v>
      </c>
      <c r="C8" s="39">
        <v>71.0</v>
      </c>
      <c r="D8" s="39">
        <v>34.0</v>
      </c>
      <c r="E8" s="39">
        <v>30.0</v>
      </c>
      <c r="F8" s="39">
        <v>33.0</v>
      </c>
      <c r="G8" s="39">
        <v>35.0</v>
      </c>
      <c r="H8" s="39">
        <v>33.0</v>
      </c>
      <c r="I8" s="39">
        <v>16.0</v>
      </c>
      <c r="J8" s="39">
        <v>29.0</v>
      </c>
      <c r="K8" s="39">
        <v>43.0</v>
      </c>
      <c r="L8" s="39">
        <v>40.0</v>
      </c>
      <c r="M8" s="39">
        <v>59.0</v>
      </c>
      <c r="N8" s="39">
        <v>62.0</v>
      </c>
      <c r="O8" s="39">
        <v>72.0</v>
      </c>
      <c r="P8" s="39">
        <v>85.0</v>
      </c>
      <c r="Q8" s="39">
        <v>106.0</v>
      </c>
      <c r="R8" s="39">
        <v>39.0</v>
      </c>
      <c r="S8" s="39">
        <v>102.0</v>
      </c>
      <c r="T8" s="40">
        <v>84.0</v>
      </c>
      <c r="U8" s="41">
        <v>102.0</v>
      </c>
      <c r="V8" s="39">
        <v>105.0</v>
      </c>
      <c r="W8" s="39">
        <v>86.0</v>
      </c>
      <c r="X8" s="39"/>
      <c r="Y8" s="39"/>
      <c r="Z8" s="39"/>
      <c r="AA8" s="39"/>
    </row>
    <row r="9">
      <c r="A9" s="37" t="s">
        <v>23</v>
      </c>
      <c r="B9" s="38">
        <v>4.0</v>
      </c>
      <c r="C9" s="39">
        <v>34.0</v>
      </c>
      <c r="D9" s="39">
        <v>13.0</v>
      </c>
      <c r="E9" s="39">
        <v>9.0</v>
      </c>
      <c r="F9" s="39">
        <v>4.0</v>
      </c>
      <c r="G9" s="39">
        <v>2.0</v>
      </c>
      <c r="H9" s="39">
        <v>10.0</v>
      </c>
      <c r="I9" s="39">
        <v>13.0</v>
      </c>
      <c r="J9" s="39">
        <v>8.0</v>
      </c>
      <c r="K9" s="39">
        <v>12.0</v>
      </c>
      <c r="L9" s="39">
        <v>3.0</v>
      </c>
      <c r="M9" s="39">
        <v>7.0</v>
      </c>
      <c r="N9" s="39">
        <v>7.0</v>
      </c>
      <c r="O9" s="39">
        <v>16.0</v>
      </c>
      <c r="P9" s="39">
        <v>11.0</v>
      </c>
      <c r="Q9" s="39">
        <v>8.0</v>
      </c>
      <c r="R9" s="39">
        <v>0.0</v>
      </c>
      <c r="S9" s="39">
        <v>10.0</v>
      </c>
      <c r="T9" s="40">
        <v>8.0</v>
      </c>
      <c r="U9" s="41">
        <v>3.0</v>
      </c>
      <c r="V9" s="41">
        <v>12.0</v>
      </c>
      <c r="W9" s="41"/>
      <c r="X9" s="41"/>
      <c r="Y9" s="41"/>
      <c r="Z9" s="41"/>
      <c r="AA9" s="41"/>
    </row>
    <row r="10">
      <c r="A10" s="42" t="s">
        <v>24</v>
      </c>
      <c r="B10" s="43">
        <f t="shared" ref="B10:V10" si="2">IFERROR(B9/B7, 0)</f>
        <v>0.06349206349</v>
      </c>
      <c r="C10" s="43">
        <f t="shared" si="2"/>
        <v>0.3238095238</v>
      </c>
      <c r="D10" s="43">
        <f t="shared" si="2"/>
        <v>0.2765957447</v>
      </c>
      <c r="E10" s="43">
        <f t="shared" si="2"/>
        <v>0.2307692308</v>
      </c>
      <c r="F10" s="43">
        <f t="shared" si="2"/>
        <v>0.1081081081</v>
      </c>
      <c r="G10" s="43">
        <f t="shared" si="2"/>
        <v>0.05405405405</v>
      </c>
      <c r="H10" s="43">
        <f t="shared" si="2"/>
        <v>0.2325581395</v>
      </c>
      <c r="I10" s="43">
        <f t="shared" si="2"/>
        <v>0.4482758621</v>
      </c>
      <c r="J10" s="43">
        <f t="shared" si="2"/>
        <v>0.2162162162</v>
      </c>
      <c r="K10" s="43">
        <f t="shared" si="2"/>
        <v>0.2181818182</v>
      </c>
      <c r="L10" s="43">
        <f t="shared" si="2"/>
        <v>0.07317073171</v>
      </c>
      <c r="M10" s="43">
        <f t="shared" si="2"/>
        <v>0.1076923077</v>
      </c>
      <c r="N10" s="43">
        <f t="shared" si="2"/>
        <v>0.1014492754</v>
      </c>
      <c r="O10" s="43">
        <f t="shared" si="2"/>
        <v>0.1818181818</v>
      </c>
      <c r="P10" s="43">
        <f t="shared" si="2"/>
        <v>0.1145833333</v>
      </c>
      <c r="Q10" s="43">
        <f t="shared" si="2"/>
        <v>0.0701754386</v>
      </c>
      <c r="R10" s="43">
        <f t="shared" si="2"/>
        <v>0</v>
      </c>
      <c r="S10" s="43">
        <f t="shared" si="2"/>
        <v>0.08928571429</v>
      </c>
      <c r="T10" s="43">
        <f t="shared" si="2"/>
        <v>0.08695652174</v>
      </c>
      <c r="U10" s="43">
        <f t="shared" si="2"/>
        <v>0.02857142857</v>
      </c>
      <c r="V10" s="45">
        <f t="shared" si="2"/>
        <v>0.1025641026</v>
      </c>
      <c r="W10" s="45"/>
      <c r="X10" s="45"/>
      <c r="Y10" s="45"/>
      <c r="Z10" s="45"/>
      <c r="AA10" s="45"/>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row>
    <row r="12">
      <c r="A12" s="48" t="s">
        <v>25</v>
      </c>
      <c r="B12" s="49">
        <v>31.0</v>
      </c>
      <c r="C12" s="50">
        <v>5.0</v>
      </c>
      <c r="D12" s="50">
        <v>18.0</v>
      </c>
      <c r="E12" s="50">
        <v>3.0</v>
      </c>
      <c r="F12" s="50">
        <v>8.0</v>
      </c>
      <c r="G12" s="50">
        <v>0.0</v>
      </c>
      <c r="H12" s="50">
        <v>2.0</v>
      </c>
      <c r="I12" s="50">
        <v>11.0</v>
      </c>
      <c r="J12" s="50">
        <v>24.0</v>
      </c>
      <c r="K12" s="50">
        <v>6.0</v>
      </c>
      <c r="L12" s="50">
        <v>1.0</v>
      </c>
      <c r="M12" s="50">
        <v>5.0</v>
      </c>
      <c r="N12" s="50">
        <v>5.0</v>
      </c>
      <c r="O12" s="50">
        <v>9.0</v>
      </c>
      <c r="P12" s="50">
        <v>20.0</v>
      </c>
      <c r="Q12" s="50">
        <v>22.0</v>
      </c>
      <c r="R12" s="50">
        <v>18.0</v>
      </c>
      <c r="S12" s="50">
        <v>11.0</v>
      </c>
      <c r="T12" s="51">
        <v>15.0</v>
      </c>
      <c r="U12" s="52">
        <v>5.0</v>
      </c>
      <c r="V12" s="50">
        <v>10.0</v>
      </c>
      <c r="W12" s="50"/>
      <c r="X12" s="50"/>
      <c r="Y12" s="50"/>
      <c r="Z12" s="50"/>
      <c r="AA12" s="50"/>
    </row>
    <row r="13">
      <c r="A13" s="53" t="s">
        <v>26</v>
      </c>
      <c r="B13" s="54">
        <v>27.0</v>
      </c>
      <c r="C13" s="55">
        <v>5.0</v>
      </c>
      <c r="D13" s="55">
        <v>23.0</v>
      </c>
      <c r="E13" s="55">
        <v>0.0</v>
      </c>
      <c r="F13" s="55">
        <v>8.0</v>
      </c>
      <c r="G13" s="55">
        <v>0.0</v>
      </c>
      <c r="H13" s="55">
        <v>8.0</v>
      </c>
      <c r="I13" s="55">
        <v>19.0</v>
      </c>
      <c r="J13" s="55">
        <v>16.0</v>
      </c>
      <c r="K13" s="55">
        <v>14.0</v>
      </c>
      <c r="L13" s="55">
        <v>1.0</v>
      </c>
      <c r="M13" s="55">
        <v>10.0</v>
      </c>
      <c r="N13" s="55">
        <v>7.0</v>
      </c>
      <c r="O13" s="55">
        <v>33.0</v>
      </c>
      <c r="P13" s="55">
        <v>27.0</v>
      </c>
      <c r="Q13" s="55">
        <v>25.0</v>
      </c>
      <c r="R13" s="55">
        <v>23.0</v>
      </c>
      <c r="S13" s="55">
        <v>5.0</v>
      </c>
      <c r="T13" s="56">
        <v>15.0</v>
      </c>
      <c r="U13" s="57">
        <v>10.0</v>
      </c>
      <c r="V13" s="55">
        <v>5.0</v>
      </c>
      <c r="W13" s="55">
        <v>20.0</v>
      </c>
      <c r="X13" s="55"/>
      <c r="Y13" s="55"/>
      <c r="Z13" s="55"/>
      <c r="AA13" s="55"/>
    </row>
    <row r="14">
      <c r="A14" s="58" t="s">
        <v>27</v>
      </c>
      <c r="B14" s="59">
        <v>4.0</v>
      </c>
      <c r="C14" s="60">
        <v>5.0</v>
      </c>
      <c r="D14" s="60">
        <v>3.0</v>
      </c>
      <c r="E14" s="60">
        <v>3.0</v>
      </c>
      <c r="F14" s="60">
        <v>0.0</v>
      </c>
      <c r="G14" s="60">
        <v>0.0</v>
      </c>
      <c r="H14" s="60">
        <v>2.0</v>
      </c>
      <c r="I14" s="60">
        <v>11.0</v>
      </c>
      <c r="J14" s="60">
        <v>8.0</v>
      </c>
      <c r="K14" s="60">
        <v>3.0</v>
      </c>
      <c r="L14" s="60">
        <v>0.0</v>
      </c>
      <c r="M14" s="60">
        <v>0.0</v>
      </c>
      <c r="N14" s="60">
        <v>1.0</v>
      </c>
      <c r="O14" s="60">
        <v>4.0</v>
      </c>
      <c r="P14" s="60">
        <v>3.0</v>
      </c>
      <c r="Q14" s="60">
        <v>2.0</v>
      </c>
      <c r="R14" s="60">
        <v>0.0</v>
      </c>
      <c r="S14" s="60">
        <v>8.0</v>
      </c>
      <c r="T14" s="61">
        <v>0.0</v>
      </c>
      <c r="U14" s="62"/>
      <c r="V14" s="60">
        <v>0.0</v>
      </c>
      <c r="W14" s="60"/>
      <c r="X14" s="60"/>
      <c r="Y14" s="60"/>
      <c r="Z14" s="60"/>
      <c r="AA14" s="60"/>
    </row>
    <row r="15">
      <c r="A15" s="56"/>
      <c r="B15" s="63"/>
      <c r="C15" s="56"/>
      <c r="D15" s="56"/>
      <c r="E15" s="56"/>
      <c r="F15" s="56"/>
      <c r="G15" s="56"/>
      <c r="H15" s="56"/>
      <c r="I15" s="56"/>
      <c r="J15" s="56"/>
      <c r="K15" s="56"/>
      <c r="L15" s="56"/>
      <c r="M15" s="56"/>
      <c r="N15" s="56"/>
      <c r="O15" s="56"/>
      <c r="P15" s="56"/>
      <c r="Q15" s="56"/>
      <c r="R15" s="56"/>
      <c r="S15" s="56"/>
      <c r="T15" s="56"/>
      <c r="U15" s="64"/>
      <c r="V15" s="56"/>
      <c r="W15" s="56"/>
      <c r="X15" s="56"/>
      <c r="Y15" s="56"/>
      <c r="Z15" s="56"/>
      <c r="AA15" s="56"/>
    </row>
    <row r="16">
      <c r="A16" s="65" t="s">
        <v>28</v>
      </c>
      <c r="B16" s="66"/>
      <c r="C16" s="65"/>
      <c r="D16" s="65"/>
      <c r="E16" s="65"/>
      <c r="F16" s="65"/>
      <c r="G16" s="65"/>
      <c r="H16" s="65"/>
      <c r="I16" s="65"/>
      <c r="J16" s="65"/>
      <c r="K16" s="65"/>
      <c r="L16" s="65"/>
      <c r="M16" s="65"/>
      <c r="N16" s="65"/>
      <c r="O16" s="65"/>
      <c r="P16" s="65"/>
      <c r="Q16" s="65"/>
      <c r="R16" s="65"/>
      <c r="S16" s="65"/>
      <c r="T16" s="67"/>
      <c r="U16" s="68"/>
      <c r="V16" s="65"/>
      <c r="W16" s="65"/>
      <c r="X16" s="65"/>
      <c r="Y16" s="65"/>
      <c r="Z16" s="65"/>
      <c r="AA16" s="65"/>
    </row>
    <row r="17">
      <c r="A17" s="65" t="s">
        <v>29</v>
      </c>
      <c r="B17" s="66"/>
      <c r="C17" s="65"/>
      <c r="D17" s="65"/>
      <c r="E17" s="65"/>
      <c r="F17" s="65"/>
      <c r="G17" s="65"/>
      <c r="H17" s="65"/>
      <c r="I17" s="65"/>
      <c r="J17" s="65"/>
      <c r="K17" s="65"/>
      <c r="L17" s="65"/>
      <c r="M17" s="65"/>
      <c r="N17" s="65"/>
      <c r="O17" s="65"/>
      <c r="P17" s="65"/>
      <c r="Q17" s="65"/>
      <c r="R17" s="65"/>
      <c r="S17" s="65"/>
      <c r="T17" s="67"/>
      <c r="U17" s="68"/>
      <c r="V17" s="65"/>
      <c r="W17" s="65"/>
      <c r="X17" s="65"/>
      <c r="Y17" s="65"/>
      <c r="Z17" s="65"/>
      <c r="AA17" s="65"/>
    </row>
    <row r="18">
      <c r="A18" s="69" t="s">
        <v>30</v>
      </c>
      <c r="B18" s="70">
        <v>36.0</v>
      </c>
      <c r="C18" s="69">
        <v>37.0</v>
      </c>
      <c r="D18" s="69">
        <v>32.0</v>
      </c>
      <c r="E18" s="69">
        <v>29.0</v>
      </c>
      <c r="F18" s="69">
        <v>37.0</v>
      </c>
      <c r="G18" s="69">
        <v>37.0</v>
      </c>
      <c r="H18" s="69">
        <v>16.0</v>
      </c>
      <c r="I18" s="69">
        <v>13.0</v>
      </c>
      <c r="J18" s="69">
        <v>24.0</v>
      </c>
      <c r="K18" s="69">
        <v>10.0</v>
      </c>
      <c r="L18" s="69">
        <v>15.0</v>
      </c>
      <c r="M18" s="69">
        <v>47.0</v>
      </c>
      <c r="N18" s="69">
        <v>24.0</v>
      </c>
      <c r="O18" s="69">
        <v>38.0</v>
      </c>
      <c r="P18" s="69">
        <v>28.0</v>
      </c>
      <c r="Q18" s="69">
        <v>34.0</v>
      </c>
      <c r="R18" s="69">
        <v>23.0</v>
      </c>
      <c r="S18" s="69">
        <v>94.0</v>
      </c>
      <c r="T18" s="69">
        <v>50.0</v>
      </c>
      <c r="U18" s="76">
        <v>27.0</v>
      </c>
      <c r="V18" s="199">
        <v>56.0</v>
      </c>
      <c r="W18" s="69"/>
      <c r="X18" s="69"/>
      <c r="Y18" s="69"/>
      <c r="Z18" s="69"/>
      <c r="AA18" s="69"/>
      <c r="AB18" s="73"/>
      <c r="AC18" s="73"/>
      <c r="AD18" s="73"/>
      <c r="AE18" s="73"/>
      <c r="AF18" s="73"/>
      <c r="AG18" s="73"/>
      <c r="AH18" s="73"/>
      <c r="AI18" s="73"/>
      <c r="AJ18" s="73"/>
      <c r="AK18" s="73"/>
      <c r="AL18" s="73"/>
      <c r="AM18" s="73"/>
      <c r="AN18" s="73"/>
    </row>
    <row r="19">
      <c r="A19" s="74" t="s">
        <v>31</v>
      </c>
      <c r="B19" s="75">
        <v>42.0</v>
      </c>
      <c r="C19" s="74">
        <v>37.0</v>
      </c>
      <c r="D19" s="74">
        <v>32.0</v>
      </c>
      <c r="E19" s="74">
        <v>29.0</v>
      </c>
      <c r="F19" s="74">
        <v>37.0</v>
      </c>
      <c r="G19" s="74">
        <v>37.0</v>
      </c>
      <c r="H19" s="74">
        <v>16.0</v>
      </c>
      <c r="I19" s="74">
        <v>13.0</v>
      </c>
      <c r="J19" s="74">
        <v>24.0</v>
      </c>
      <c r="K19" s="74">
        <v>10.0</v>
      </c>
      <c r="L19" s="74">
        <v>15.0</v>
      </c>
      <c r="M19" s="74">
        <v>47.0</v>
      </c>
      <c r="N19" s="74">
        <v>24.0</v>
      </c>
      <c r="O19" s="74">
        <v>38.0</v>
      </c>
      <c r="P19" s="74">
        <v>28.0</v>
      </c>
      <c r="Q19" s="69">
        <v>34.0</v>
      </c>
      <c r="R19" s="74">
        <v>23.0</v>
      </c>
      <c r="S19" s="74">
        <v>76.0</v>
      </c>
      <c r="T19" s="74">
        <v>50.0</v>
      </c>
      <c r="U19" s="77">
        <v>35.0</v>
      </c>
      <c r="V19" s="69">
        <v>62.0</v>
      </c>
      <c r="W19" s="74"/>
      <c r="X19" s="74"/>
      <c r="Y19" s="74"/>
      <c r="Z19" s="74"/>
      <c r="AA19" s="74"/>
      <c r="AB19" s="78"/>
      <c r="AC19" s="78"/>
      <c r="AD19" s="78"/>
      <c r="AE19" s="78"/>
      <c r="AF19" s="78"/>
      <c r="AG19" s="78"/>
      <c r="AH19" s="78"/>
      <c r="AI19" s="78"/>
      <c r="AJ19" s="78"/>
      <c r="AK19" s="78"/>
      <c r="AL19" s="78"/>
      <c r="AM19" s="78"/>
      <c r="AN19" s="78"/>
    </row>
    <row r="20">
      <c r="A20" s="69" t="s">
        <v>32</v>
      </c>
      <c r="B20" s="70">
        <v>36.0</v>
      </c>
      <c r="C20" s="69">
        <v>37.0</v>
      </c>
      <c r="D20" s="69">
        <v>32.0</v>
      </c>
      <c r="E20" s="69">
        <v>29.0</v>
      </c>
      <c r="F20" s="69">
        <v>37.0</v>
      </c>
      <c r="G20" s="69">
        <v>37.0</v>
      </c>
      <c r="H20" s="69">
        <v>16.0</v>
      </c>
      <c r="I20" s="69">
        <v>13.0</v>
      </c>
      <c r="J20" s="69">
        <v>24.0</v>
      </c>
      <c r="K20" s="69">
        <v>10.0</v>
      </c>
      <c r="L20" s="69">
        <v>15.0</v>
      </c>
      <c r="M20" s="69">
        <v>47.0</v>
      </c>
      <c r="N20" s="69">
        <v>24.0</v>
      </c>
      <c r="O20" s="69">
        <v>38.0</v>
      </c>
      <c r="P20" s="69">
        <v>28.0</v>
      </c>
      <c r="Q20" s="69">
        <v>34.0</v>
      </c>
      <c r="R20" s="69">
        <v>23.0</v>
      </c>
      <c r="S20" s="69">
        <v>76.0</v>
      </c>
      <c r="T20" s="69">
        <v>50.0</v>
      </c>
      <c r="U20" s="76">
        <v>27.0</v>
      </c>
      <c r="V20" s="69">
        <v>6.0</v>
      </c>
      <c r="W20" s="69"/>
      <c r="X20" s="69"/>
      <c r="Y20" s="69"/>
      <c r="Z20" s="69"/>
      <c r="AA20" s="69"/>
      <c r="AB20" s="73"/>
      <c r="AC20" s="73"/>
      <c r="AD20" s="73"/>
      <c r="AE20" s="73"/>
      <c r="AF20" s="73"/>
      <c r="AG20" s="73"/>
      <c r="AH20" s="73"/>
      <c r="AI20" s="73"/>
      <c r="AJ20" s="73"/>
      <c r="AK20" s="73"/>
      <c r="AL20" s="73"/>
      <c r="AM20" s="73"/>
      <c r="AN20" s="73"/>
    </row>
    <row r="21">
      <c r="A21" s="79" t="s">
        <v>33</v>
      </c>
      <c r="B21" s="80">
        <v>19.0</v>
      </c>
      <c r="C21" s="80">
        <v>68.0</v>
      </c>
      <c r="D21" s="80">
        <v>13.0</v>
      </c>
      <c r="E21" s="80">
        <v>10.0</v>
      </c>
      <c r="F21" s="79">
        <v>0.0</v>
      </c>
      <c r="G21" s="79">
        <v>0.0</v>
      </c>
      <c r="H21" s="79">
        <v>27.0</v>
      </c>
      <c r="I21" s="79">
        <v>16.0</v>
      </c>
      <c r="J21" s="79">
        <v>13.0</v>
      </c>
      <c r="K21" s="79">
        <v>45.0</v>
      </c>
      <c r="L21" s="79">
        <v>26.0</v>
      </c>
      <c r="M21" s="79">
        <v>18.0</v>
      </c>
      <c r="N21" s="79">
        <v>45.0</v>
      </c>
      <c r="O21" s="79">
        <v>50.0</v>
      </c>
      <c r="P21" s="79">
        <v>62.0</v>
      </c>
      <c r="Q21" s="79">
        <v>83.0</v>
      </c>
      <c r="R21" s="79">
        <v>16.0</v>
      </c>
      <c r="S21" s="79">
        <v>18.0</v>
      </c>
      <c r="T21" s="81">
        <v>42.0</v>
      </c>
      <c r="U21" s="79">
        <v>70.0</v>
      </c>
      <c r="V21" s="79">
        <v>55.0</v>
      </c>
      <c r="W21" s="79"/>
      <c r="X21" s="79"/>
      <c r="Y21" s="79"/>
      <c r="Z21" s="79"/>
      <c r="AA21" s="79"/>
    </row>
    <row r="22">
      <c r="A22" s="82" t="s">
        <v>34</v>
      </c>
      <c r="B22" s="83">
        <v>63.0</v>
      </c>
      <c r="C22" s="83"/>
      <c r="D22" s="85">
        <v>34.0</v>
      </c>
      <c r="E22" s="85">
        <v>30.0</v>
      </c>
      <c r="F22" s="85">
        <v>33.0</v>
      </c>
      <c r="G22" s="85">
        <v>35.0</v>
      </c>
      <c r="H22" s="85">
        <v>33.0</v>
      </c>
      <c r="I22" s="85">
        <v>27.0</v>
      </c>
      <c r="J22" s="85">
        <v>29.0</v>
      </c>
      <c r="K22" s="85">
        <v>43.0</v>
      </c>
      <c r="L22" s="85">
        <v>35.0</v>
      </c>
      <c r="M22" s="85">
        <v>59.0</v>
      </c>
      <c r="N22" s="85">
        <v>45.0</v>
      </c>
      <c r="O22" s="85">
        <v>70.0</v>
      </c>
      <c r="P22" s="85">
        <v>85.0</v>
      </c>
      <c r="Q22" s="85">
        <v>106.0</v>
      </c>
      <c r="R22" s="85">
        <v>37.0</v>
      </c>
      <c r="S22" s="85"/>
      <c r="T22" s="85"/>
      <c r="U22" s="86"/>
      <c r="V22" s="85">
        <v>100.0</v>
      </c>
      <c r="W22" s="85">
        <v>66.0</v>
      </c>
      <c r="X22" s="85"/>
      <c r="Y22" s="85"/>
      <c r="Z22" s="85"/>
      <c r="AA22" s="87"/>
      <c r="AB22" s="87"/>
      <c r="AC22" s="88"/>
      <c r="AD22" s="88"/>
      <c r="AE22" s="88"/>
      <c r="AF22" s="88"/>
      <c r="AG22" s="88"/>
      <c r="AH22" s="88"/>
      <c r="AI22" s="88"/>
      <c r="AJ22" s="88"/>
      <c r="AK22" s="88"/>
      <c r="AL22" s="88"/>
      <c r="AM22" s="89"/>
      <c r="AN22" s="88"/>
    </row>
    <row r="23">
      <c r="A23" s="90" t="s">
        <v>35</v>
      </c>
      <c r="B23" s="394" t="s">
        <v>497</v>
      </c>
      <c r="C23" s="395" t="s">
        <v>498</v>
      </c>
      <c r="D23" s="394" t="s">
        <v>499</v>
      </c>
      <c r="E23" s="394" t="s">
        <v>500</v>
      </c>
      <c r="F23" s="394" t="s">
        <v>501</v>
      </c>
      <c r="G23" s="394" t="s">
        <v>502</v>
      </c>
      <c r="H23" s="395" t="s">
        <v>503</v>
      </c>
      <c r="I23" s="396" t="s">
        <v>504</v>
      </c>
      <c r="J23" s="395" t="s">
        <v>503</v>
      </c>
      <c r="K23" s="395" t="s">
        <v>503</v>
      </c>
      <c r="L23" s="395" t="s">
        <v>505</v>
      </c>
      <c r="M23" s="394" t="s">
        <v>506</v>
      </c>
      <c r="N23" s="395" t="s">
        <v>507</v>
      </c>
      <c r="O23" s="396" t="s">
        <v>508</v>
      </c>
      <c r="P23" s="396" t="s">
        <v>509</v>
      </c>
      <c r="Q23" s="396" t="s">
        <v>509</v>
      </c>
      <c r="R23" s="397" t="s">
        <v>510</v>
      </c>
      <c r="S23" s="396" t="s">
        <v>511</v>
      </c>
      <c r="T23" s="396" t="s">
        <v>512</v>
      </c>
      <c r="U23" s="398" t="s">
        <v>513</v>
      </c>
      <c r="V23" s="398" t="s">
        <v>514</v>
      </c>
      <c r="W23" s="91"/>
      <c r="X23" s="91"/>
      <c r="Y23" s="91"/>
      <c r="Z23" s="91"/>
      <c r="AA23" s="91"/>
      <c r="AB23" s="94"/>
      <c r="AC23" s="95"/>
      <c r="AD23" s="95"/>
      <c r="AE23" s="95"/>
      <c r="AF23" s="95"/>
      <c r="AG23" s="95"/>
      <c r="AH23" s="95"/>
      <c r="AI23" s="95"/>
      <c r="AJ23" s="95"/>
      <c r="AK23" s="95"/>
      <c r="AL23" s="95"/>
      <c r="AM23" s="95"/>
      <c r="AN23" s="95"/>
    </row>
    <row r="24">
      <c r="A24" s="96" t="s">
        <v>36</v>
      </c>
      <c r="B24" s="97">
        <v>1.0</v>
      </c>
      <c r="C24" s="98">
        <v>0.0</v>
      </c>
      <c r="D24" s="97">
        <v>1.0</v>
      </c>
      <c r="E24" s="97">
        <v>1.0</v>
      </c>
      <c r="F24" s="97">
        <v>1.0</v>
      </c>
      <c r="G24" s="97">
        <v>1.0</v>
      </c>
      <c r="H24" s="98">
        <v>0.0</v>
      </c>
      <c r="I24" s="98">
        <v>0.0</v>
      </c>
      <c r="J24" s="98">
        <v>0.0</v>
      </c>
      <c r="K24" s="98">
        <v>0.0</v>
      </c>
      <c r="L24" s="98">
        <v>0.0</v>
      </c>
      <c r="M24" s="97">
        <v>1.0</v>
      </c>
      <c r="N24" s="98">
        <v>0.0</v>
      </c>
      <c r="O24" s="98">
        <v>0.0</v>
      </c>
      <c r="P24" s="98">
        <v>0.0</v>
      </c>
      <c r="Q24" s="98">
        <v>0.0</v>
      </c>
      <c r="R24" s="97">
        <v>1.0</v>
      </c>
      <c r="S24" s="98">
        <v>0.0</v>
      </c>
      <c r="T24" s="98">
        <v>0.0</v>
      </c>
      <c r="U24" s="98">
        <v>0.0</v>
      </c>
      <c r="V24" s="98">
        <v>0.0</v>
      </c>
      <c r="W24" s="98">
        <v>0.0</v>
      </c>
      <c r="X24" s="98">
        <v>0.0</v>
      </c>
      <c r="Y24" s="98">
        <v>0.0</v>
      </c>
      <c r="Z24" s="98">
        <v>0.0</v>
      </c>
      <c r="AA24" s="97"/>
      <c r="AB24" s="99"/>
      <c r="AC24" s="100"/>
      <c r="AD24" s="100"/>
      <c r="AE24" s="100"/>
      <c r="AF24" s="100"/>
      <c r="AG24" s="100"/>
      <c r="AH24" s="100"/>
      <c r="AI24" s="100"/>
      <c r="AJ24" s="100"/>
      <c r="AK24" s="100"/>
      <c r="AL24" s="100"/>
      <c r="AM24" s="100"/>
      <c r="AN24" s="100"/>
    </row>
    <row r="25">
      <c r="A25" s="101" t="s">
        <v>37</v>
      </c>
      <c r="B25" s="102">
        <f t="shared" ref="B25:V25" si="3">IFERROR(B19/B8, 0)</f>
        <v>0.6666666667</v>
      </c>
      <c r="C25" s="102">
        <f t="shared" si="3"/>
        <v>0.5211267606</v>
      </c>
      <c r="D25" s="102">
        <f t="shared" si="3"/>
        <v>0.9411764706</v>
      </c>
      <c r="E25" s="102">
        <f t="shared" si="3"/>
        <v>0.9666666667</v>
      </c>
      <c r="F25" s="102">
        <f t="shared" si="3"/>
        <v>1.121212121</v>
      </c>
      <c r="G25" s="102">
        <f t="shared" si="3"/>
        <v>1.057142857</v>
      </c>
      <c r="H25" s="102">
        <f t="shared" si="3"/>
        <v>0.4848484848</v>
      </c>
      <c r="I25" s="102">
        <f t="shared" si="3"/>
        <v>0.8125</v>
      </c>
      <c r="J25" s="102">
        <f t="shared" si="3"/>
        <v>0.8275862069</v>
      </c>
      <c r="K25" s="102">
        <f t="shared" si="3"/>
        <v>0.2325581395</v>
      </c>
      <c r="L25" s="102">
        <f t="shared" si="3"/>
        <v>0.375</v>
      </c>
      <c r="M25" s="102">
        <f t="shared" si="3"/>
        <v>0.7966101695</v>
      </c>
      <c r="N25" s="102">
        <f t="shared" si="3"/>
        <v>0.3870967742</v>
      </c>
      <c r="O25" s="102">
        <f t="shared" si="3"/>
        <v>0.5277777778</v>
      </c>
      <c r="P25" s="102">
        <f t="shared" si="3"/>
        <v>0.3294117647</v>
      </c>
      <c r="Q25" s="102">
        <f t="shared" si="3"/>
        <v>0.320754717</v>
      </c>
      <c r="R25" s="102">
        <f t="shared" si="3"/>
        <v>0.5897435897</v>
      </c>
      <c r="S25" s="102">
        <f t="shared" si="3"/>
        <v>0.7450980392</v>
      </c>
      <c r="T25" s="102">
        <f t="shared" si="3"/>
        <v>0.5952380952</v>
      </c>
      <c r="U25" s="102">
        <f t="shared" si="3"/>
        <v>0.3431372549</v>
      </c>
      <c r="V25" s="102">
        <f t="shared" si="3"/>
        <v>0.5904761905</v>
      </c>
      <c r="W25" s="102"/>
      <c r="X25" s="102"/>
      <c r="Y25" s="102"/>
      <c r="Z25" s="102"/>
      <c r="AA25" s="102"/>
    </row>
    <row r="26">
      <c r="A26" s="105" t="s">
        <v>38</v>
      </c>
      <c r="B26" s="106">
        <f t="shared" ref="B26:V26" si="4">IFERROR(B12/B18, 0)</f>
        <v>0.8611111111</v>
      </c>
      <c r="C26" s="106">
        <f t="shared" si="4"/>
        <v>0.1351351351</v>
      </c>
      <c r="D26" s="106">
        <f t="shared" si="4"/>
        <v>0.5625</v>
      </c>
      <c r="E26" s="106">
        <f t="shared" si="4"/>
        <v>0.1034482759</v>
      </c>
      <c r="F26" s="106">
        <f t="shared" si="4"/>
        <v>0.2162162162</v>
      </c>
      <c r="G26" s="106">
        <f t="shared" si="4"/>
        <v>0</v>
      </c>
      <c r="H26" s="106">
        <f t="shared" si="4"/>
        <v>0.125</v>
      </c>
      <c r="I26" s="106">
        <f t="shared" si="4"/>
        <v>0.8461538462</v>
      </c>
      <c r="J26" s="106">
        <f t="shared" si="4"/>
        <v>1</v>
      </c>
      <c r="K26" s="106">
        <f t="shared" si="4"/>
        <v>0.6</v>
      </c>
      <c r="L26" s="106">
        <f t="shared" si="4"/>
        <v>0.06666666667</v>
      </c>
      <c r="M26" s="106">
        <f t="shared" si="4"/>
        <v>0.1063829787</v>
      </c>
      <c r="N26" s="106">
        <f t="shared" si="4"/>
        <v>0.2083333333</v>
      </c>
      <c r="O26" s="106">
        <f t="shared" si="4"/>
        <v>0.2368421053</v>
      </c>
      <c r="P26" s="106">
        <f t="shared" si="4"/>
        <v>0.7142857143</v>
      </c>
      <c r="Q26" s="106">
        <f t="shared" si="4"/>
        <v>0.6470588235</v>
      </c>
      <c r="R26" s="106">
        <f t="shared" si="4"/>
        <v>0.7826086957</v>
      </c>
      <c r="S26" s="106">
        <f t="shared" si="4"/>
        <v>0.1170212766</v>
      </c>
      <c r="T26" s="106">
        <f t="shared" si="4"/>
        <v>0.3</v>
      </c>
      <c r="U26" s="106">
        <f t="shared" si="4"/>
        <v>0.1851851852</v>
      </c>
      <c r="V26" s="106">
        <f t="shared" si="4"/>
        <v>0.1785714286</v>
      </c>
      <c r="W26" s="106"/>
      <c r="X26" s="106"/>
      <c r="Y26" s="106"/>
      <c r="Z26" s="106"/>
      <c r="AA26" s="106"/>
    </row>
    <row r="27">
      <c r="A27" s="109" t="s">
        <v>39</v>
      </c>
      <c r="B27" s="110">
        <f t="shared" ref="B27:V27" si="5">IFERROR(B20/B18, 0)</f>
        <v>1</v>
      </c>
      <c r="C27" s="110">
        <f t="shared" si="5"/>
        <v>1</v>
      </c>
      <c r="D27" s="110">
        <f t="shared" si="5"/>
        <v>1</v>
      </c>
      <c r="E27" s="110">
        <f t="shared" si="5"/>
        <v>1</v>
      </c>
      <c r="F27" s="110">
        <f t="shared" si="5"/>
        <v>1</v>
      </c>
      <c r="G27" s="110">
        <f t="shared" si="5"/>
        <v>1</v>
      </c>
      <c r="H27" s="110">
        <f t="shared" si="5"/>
        <v>1</v>
      </c>
      <c r="I27" s="110">
        <f t="shared" si="5"/>
        <v>1</v>
      </c>
      <c r="J27" s="110">
        <f t="shared" si="5"/>
        <v>1</v>
      </c>
      <c r="K27" s="110">
        <f t="shared" si="5"/>
        <v>1</v>
      </c>
      <c r="L27" s="110">
        <f t="shared" si="5"/>
        <v>1</v>
      </c>
      <c r="M27" s="110">
        <f t="shared" si="5"/>
        <v>1</v>
      </c>
      <c r="N27" s="110">
        <f t="shared" si="5"/>
        <v>1</v>
      </c>
      <c r="O27" s="110">
        <f t="shared" si="5"/>
        <v>1</v>
      </c>
      <c r="P27" s="110">
        <f t="shared" si="5"/>
        <v>1</v>
      </c>
      <c r="Q27" s="110">
        <f t="shared" si="5"/>
        <v>1</v>
      </c>
      <c r="R27" s="110">
        <f t="shared" si="5"/>
        <v>1</v>
      </c>
      <c r="S27" s="110">
        <f t="shared" si="5"/>
        <v>0.8085106383</v>
      </c>
      <c r="T27" s="110">
        <f t="shared" si="5"/>
        <v>1</v>
      </c>
      <c r="U27" s="110">
        <f t="shared" si="5"/>
        <v>1</v>
      </c>
      <c r="V27" s="110">
        <f t="shared" si="5"/>
        <v>0.1071428571</v>
      </c>
      <c r="W27" s="110"/>
      <c r="X27" s="110"/>
      <c r="Y27" s="110"/>
      <c r="Z27" s="110"/>
      <c r="AA27" s="110"/>
      <c r="AB27" s="112"/>
      <c r="AC27" s="113"/>
      <c r="AD27" s="113"/>
      <c r="AE27" s="113"/>
      <c r="AF27" s="113"/>
      <c r="AG27" s="113"/>
      <c r="AH27" s="113"/>
      <c r="AI27" s="113"/>
      <c r="AJ27" s="113"/>
      <c r="AK27" s="113"/>
      <c r="AL27" s="113"/>
      <c r="AM27" s="113"/>
      <c r="AN27" s="113"/>
    </row>
    <row r="28">
      <c r="A28" s="114" t="s">
        <v>40</v>
      </c>
      <c r="B28" s="115">
        <f t="shared" ref="B28:V28" si="6">B22/B8</f>
        <v>1</v>
      </c>
      <c r="C28" s="115">
        <f t="shared" si="6"/>
        <v>0</v>
      </c>
      <c r="D28" s="115">
        <f t="shared" si="6"/>
        <v>1</v>
      </c>
      <c r="E28" s="115">
        <f t="shared" si="6"/>
        <v>1</v>
      </c>
      <c r="F28" s="115">
        <f t="shared" si="6"/>
        <v>1</v>
      </c>
      <c r="G28" s="115">
        <f t="shared" si="6"/>
        <v>1</v>
      </c>
      <c r="H28" s="115">
        <f t="shared" si="6"/>
        <v>1</v>
      </c>
      <c r="I28" s="115">
        <f t="shared" si="6"/>
        <v>1.6875</v>
      </c>
      <c r="J28" s="115">
        <f t="shared" si="6"/>
        <v>1</v>
      </c>
      <c r="K28" s="115">
        <f t="shared" si="6"/>
        <v>1</v>
      </c>
      <c r="L28" s="115">
        <f t="shared" si="6"/>
        <v>0.875</v>
      </c>
      <c r="M28" s="115">
        <f t="shared" si="6"/>
        <v>1</v>
      </c>
      <c r="N28" s="115">
        <f t="shared" si="6"/>
        <v>0.7258064516</v>
      </c>
      <c r="O28" s="115">
        <f t="shared" si="6"/>
        <v>0.9722222222</v>
      </c>
      <c r="P28" s="115">
        <f t="shared" si="6"/>
        <v>1</v>
      </c>
      <c r="Q28" s="115">
        <f t="shared" si="6"/>
        <v>1</v>
      </c>
      <c r="R28" s="115">
        <f t="shared" si="6"/>
        <v>0.9487179487</v>
      </c>
      <c r="S28" s="115">
        <f t="shared" si="6"/>
        <v>0</v>
      </c>
      <c r="T28" s="115">
        <f t="shared" si="6"/>
        <v>0</v>
      </c>
      <c r="U28" s="115">
        <f t="shared" si="6"/>
        <v>0</v>
      </c>
      <c r="V28" s="115">
        <f t="shared" si="6"/>
        <v>0.9523809524</v>
      </c>
      <c r="W28" s="115"/>
      <c r="X28" s="115"/>
      <c r="Y28" s="115"/>
      <c r="Z28" s="115"/>
      <c r="AA28" s="115"/>
      <c r="AB28" s="112"/>
      <c r="AC28" s="113"/>
      <c r="AD28" s="113"/>
      <c r="AE28" s="113"/>
      <c r="AF28" s="113"/>
      <c r="AG28" s="113"/>
      <c r="AH28" s="113"/>
      <c r="AI28" s="113"/>
      <c r="AJ28" s="113"/>
      <c r="AK28" s="113"/>
      <c r="AL28" s="113"/>
      <c r="AM28" s="113"/>
      <c r="AN28" s="113"/>
    </row>
    <row r="29">
      <c r="A29" s="117" t="s">
        <v>41</v>
      </c>
      <c r="B29" s="118"/>
      <c r="C29" s="118"/>
      <c r="D29" s="119"/>
      <c r="E29" s="119"/>
      <c r="F29" s="119"/>
      <c r="G29" s="119"/>
      <c r="H29" s="119"/>
      <c r="I29" s="119"/>
      <c r="J29" s="119"/>
      <c r="K29" s="119"/>
      <c r="L29" s="119"/>
      <c r="M29" s="119"/>
      <c r="N29" s="119"/>
      <c r="O29" s="119"/>
      <c r="P29" s="119"/>
      <c r="Q29" s="119"/>
      <c r="R29" s="119"/>
      <c r="S29" s="119"/>
      <c r="T29" s="119"/>
      <c r="U29" s="120"/>
      <c r="V29" s="119"/>
      <c r="W29" s="119"/>
      <c r="X29" s="119"/>
      <c r="Y29" s="119"/>
      <c r="Z29" s="119"/>
      <c r="AA29" s="119"/>
      <c r="AB29" s="121"/>
      <c r="AC29" s="121"/>
      <c r="AD29" s="121"/>
      <c r="AE29" s="121"/>
      <c r="AF29" s="121"/>
      <c r="AG29" s="99"/>
      <c r="AH29" s="99"/>
      <c r="AI29" s="99"/>
      <c r="AJ29" s="99"/>
      <c r="AK29" s="99"/>
      <c r="AL29" s="99"/>
      <c r="AM29" s="99"/>
      <c r="AN29" s="99"/>
    </row>
    <row r="30">
      <c r="A30" s="184" t="s">
        <v>141</v>
      </c>
      <c r="B30" s="240"/>
      <c r="C30" s="240"/>
      <c r="D30" s="240"/>
      <c r="E30" s="240"/>
      <c r="F30" s="240"/>
      <c r="G30" s="240"/>
      <c r="H30" s="240"/>
      <c r="I30" s="97">
        <f t="shared" ref="I30:Z30" si="7">I64/I8</f>
        <v>0</v>
      </c>
      <c r="J30" s="97">
        <f t="shared" si="7"/>
        <v>0</v>
      </c>
      <c r="K30" s="97">
        <f t="shared" si="7"/>
        <v>0</v>
      </c>
      <c r="L30" s="97">
        <f t="shared" si="7"/>
        <v>0</v>
      </c>
      <c r="M30" s="97">
        <f t="shared" si="7"/>
        <v>0</v>
      </c>
      <c r="N30" s="97">
        <f t="shared" si="7"/>
        <v>0</v>
      </c>
      <c r="O30" s="97">
        <f t="shared" si="7"/>
        <v>0</v>
      </c>
      <c r="P30" s="97">
        <f t="shared" si="7"/>
        <v>0</v>
      </c>
      <c r="Q30" s="97">
        <f t="shared" si="7"/>
        <v>0</v>
      </c>
      <c r="R30" s="97">
        <f t="shared" si="7"/>
        <v>0</v>
      </c>
      <c r="S30" s="97">
        <f t="shared" si="7"/>
        <v>0</v>
      </c>
      <c r="T30" s="97">
        <f t="shared" si="7"/>
        <v>0</v>
      </c>
      <c r="U30" s="97">
        <f t="shared" si="7"/>
        <v>0</v>
      </c>
      <c r="V30" s="97">
        <f t="shared" si="7"/>
        <v>0</v>
      </c>
      <c r="W30" s="97">
        <f t="shared" si="7"/>
        <v>0.3255813953</v>
      </c>
      <c r="X30" s="97" t="str">
        <f t="shared" si="7"/>
        <v>#DIV/0!</v>
      </c>
      <c r="Y30" s="97" t="str">
        <f t="shared" si="7"/>
        <v>#DIV/0!</v>
      </c>
      <c r="Z30" s="97" t="str">
        <f t="shared" si="7"/>
        <v>#DIV/0!</v>
      </c>
      <c r="AA30" s="97"/>
      <c r="AB30" s="240"/>
      <c r="AC30" s="186"/>
      <c r="AD30" s="186"/>
      <c r="AE30" s="186"/>
      <c r="AF30" s="186"/>
      <c r="AG30" s="186"/>
      <c r="AH30" s="186"/>
      <c r="AI30" s="186"/>
      <c r="AJ30" s="186"/>
      <c r="AK30" s="186"/>
      <c r="AL30" s="186"/>
      <c r="AM30" s="186"/>
      <c r="AN30" s="186"/>
    </row>
    <row r="31">
      <c r="A31" s="187" t="s">
        <v>42</v>
      </c>
      <c r="B31" s="191">
        <v>0.25</v>
      </c>
      <c r="C31" s="191">
        <v>0.61</v>
      </c>
      <c r="D31" s="191">
        <v>0.17</v>
      </c>
      <c r="E31" s="191">
        <v>0.51</v>
      </c>
      <c r="F31" s="191">
        <v>0.39</v>
      </c>
      <c r="G31" s="191">
        <v>0.45</v>
      </c>
      <c r="H31" s="191">
        <v>0.39</v>
      </c>
      <c r="I31" s="191">
        <v>0.5</v>
      </c>
      <c r="J31" s="191">
        <v>0.48</v>
      </c>
      <c r="K31" s="191">
        <v>0.52</v>
      </c>
      <c r="L31" s="191">
        <v>0.57</v>
      </c>
      <c r="M31" s="191">
        <v>0.35</v>
      </c>
      <c r="N31" s="191">
        <v>0.31</v>
      </c>
      <c r="O31" s="191">
        <v>0.34</v>
      </c>
      <c r="P31" s="191">
        <v>0.34</v>
      </c>
      <c r="Q31" s="191">
        <v>0.32</v>
      </c>
      <c r="R31" s="191">
        <v>0.3</v>
      </c>
      <c r="S31" s="191">
        <v>0.69</v>
      </c>
      <c r="T31" s="191">
        <v>0.17</v>
      </c>
      <c r="U31" s="191">
        <v>0.34</v>
      </c>
      <c r="V31" s="185">
        <f>54/V8</f>
        <v>0.5142857143</v>
      </c>
      <c r="W31" s="185">
        <f>28/W8</f>
        <v>0.3255813953</v>
      </c>
      <c r="X31" s="185">
        <v>0.0</v>
      </c>
      <c r="Y31" s="185">
        <v>0.0</v>
      </c>
      <c r="Z31" s="185">
        <v>0.0</v>
      </c>
      <c r="AA31" s="185"/>
      <c r="AB31" s="188"/>
      <c r="AC31" s="189"/>
      <c r="AD31" s="189"/>
      <c r="AE31" s="189"/>
      <c r="AF31" s="189"/>
      <c r="AG31" s="147"/>
      <c r="AH31" s="147"/>
      <c r="AI31" s="147"/>
      <c r="AJ31" s="147"/>
      <c r="AK31" s="147"/>
      <c r="AL31" s="147"/>
      <c r="AM31" s="147"/>
      <c r="AN31" s="147"/>
    </row>
    <row r="32">
      <c r="A32" s="190" t="s">
        <v>43</v>
      </c>
      <c r="B32" s="191">
        <v>1.0</v>
      </c>
      <c r="C32" s="191">
        <v>1.0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91">
        <v>1.0</v>
      </c>
      <c r="S32" s="191">
        <v>1.0</v>
      </c>
      <c r="T32" s="191">
        <v>1.0</v>
      </c>
      <c r="U32" s="191">
        <v>1.0</v>
      </c>
      <c r="V32" s="191">
        <v>1.0</v>
      </c>
      <c r="W32" s="185">
        <v>0.0</v>
      </c>
      <c r="X32" s="185">
        <v>0.0</v>
      </c>
      <c r="Y32" s="185">
        <v>0.0</v>
      </c>
      <c r="Z32" s="185">
        <v>0.0</v>
      </c>
      <c r="AA32" s="191"/>
      <c r="AB32" s="189"/>
      <c r="AC32" s="189"/>
      <c r="AD32" s="189"/>
      <c r="AE32" s="189"/>
      <c r="AF32" s="189"/>
      <c r="AG32" s="147"/>
      <c r="AH32" s="147"/>
      <c r="AI32" s="147"/>
      <c r="AJ32" s="147"/>
      <c r="AK32" s="147"/>
      <c r="AL32" s="147"/>
      <c r="AM32" s="147"/>
      <c r="AN32" s="147"/>
    </row>
    <row r="33">
      <c r="A33" s="187" t="s">
        <v>44</v>
      </c>
      <c r="B33" s="192">
        <f t="shared" ref="B33:Z33" si="8">(B24*0.7) + (IF(B31 &gt;= 30%, 1, 0)*0.15) + (B32*0.15)</f>
        <v>0.85</v>
      </c>
      <c r="C33" s="192">
        <f t="shared" si="8"/>
        <v>0.3</v>
      </c>
      <c r="D33" s="192">
        <f t="shared" si="8"/>
        <v>0.85</v>
      </c>
      <c r="E33" s="192">
        <f t="shared" si="8"/>
        <v>1</v>
      </c>
      <c r="F33" s="192">
        <f t="shared" si="8"/>
        <v>1</v>
      </c>
      <c r="G33" s="192">
        <f t="shared" si="8"/>
        <v>1</v>
      </c>
      <c r="H33" s="192">
        <f t="shared" si="8"/>
        <v>0.3</v>
      </c>
      <c r="I33" s="192">
        <f t="shared" si="8"/>
        <v>0.3</v>
      </c>
      <c r="J33" s="192">
        <f t="shared" si="8"/>
        <v>0.3</v>
      </c>
      <c r="K33" s="192">
        <f t="shared" si="8"/>
        <v>0.3</v>
      </c>
      <c r="L33" s="192">
        <f t="shared" si="8"/>
        <v>0.3</v>
      </c>
      <c r="M33" s="192">
        <f t="shared" si="8"/>
        <v>1</v>
      </c>
      <c r="N33" s="192">
        <f t="shared" si="8"/>
        <v>0.3</v>
      </c>
      <c r="O33" s="192">
        <f t="shared" si="8"/>
        <v>0.3</v>
      </c>
      <c r="P33" s="192">
        <f t="shared" si="8"/>
        <v>0.3</v>
      </c>
      <c r="Q33" s="192">
        <f t="shared" si="8"/>
        <v>0.3</v>
      </c>
      <c r="R33" s="192">
        <f t="shared" si="8"/>
        <v>1</v>
      </c>
      <c r="S33" s="192">
        <f t="shared" si="8"/>
        <v>0.3</v>
      </c>
      <c r="T33" s="192">
        <f t="shared" si="8"/>
        <v>0.15</v>
      </c>
      <c r="U33" s="192">
        <f t="shared" si="8"/>
        <v>0.3</v>
      </c>
      <c r="V33" s="192">
        <f t="shared" si="8"/>
        <v>0.3</v>
      </c>
      <c r="W33" s="192">
        <f t="shared" si="8"/>
        <v>0.15</v>
      </c>
      <c r="X33" s="192">
        <f t="shared" si="8"/>
        <v>0</v>
      </c>
      <c r="Y33" s="192">
        <f t="shared" si="8"/>
        <v>0</v>
      </c>
      <c r="Z33" s="192">
        <f t="shared" si="8"/>
        <v>0</v>
      </c>
      <c r="AA33" s="192"/>
      <c r="AB33" s="189"/>
      <c r="AC33" s="189"/>
      <c r="AD33" s="189"/>
      <c r="AE33" s="189"/>
      <c r="AF33" s="189"/>
      <c r="AG33" s="147"/>
      <c r="AH33" s="147"/>
      <c r="AI33" s="147"/>
      <c r="AJ33" s="147"/>
      <c r="AK33" s="147"/>
      <c r="AL33" s="147"/>
      <c r="AM33" s="147"/>
      <c r="AN33" s="147"/>
    </row>
    <row r="34">
      <c r="A34" s="193" t="s">
        <v>142</v>
      </c>
      <c r="B34" s="194"/>
      <c r="O34" s="192">
        <v>0.3</v>
      </c>
      <c r="P34" s="192">
        <v>0.3</v>
      </c>
      <c r="Q34" s="192">
        <v>0.3</v>
      </c>
      <c r="R34" s="192">
        <v>1.0</v>
      </c>
      <c r="S34" s="192">
        <v>0.3</v>
      </c>
      <c r="T34" s="195">
        <v>0.3</v>
      </c>
      <c r="U34" s="31"/>
    </row>
    <row r="35">
      <c r="A35" s="126" t="s">
        <v>45</v>
      </c>
      <c r="B35" s="127"/>
      <c r="C35" s="128"/>
      <c r="D35" s="128"/>
      <c r="E35" s="128"/>
      <c r="F35" s="128"/>
      <c r="G35" s="128"/>
      <c r="H35" s="128"/>
      <c r="I35" s="128"/>
      <c r="J35" s="128"/>
      <c r="K35" s="128"/>
      <c r="L35" s="128"/>
      <c r="M35" s="128"/>
      <c r="N35" s="128"/>
      <c r="O35" s="128"/>
      <c r="P35" s="128"/>
      <c r="Q35" s="128"/>
      <c r="R35" s="128"/>
      <c r="S35" s="128"/>
      <c r="T35" s="128"/>
      <c r="U35" s="129"/>
      <c r="V35" s="128"/>
      <c r="W35" s="128"/>
      <c r="X35" s="128"/>
      <c r="Y35" s="128"/>
      <c r="Z35" s="128"/>
      <c r="AA35" s="128"/>
      <c r="AB35" s="128"/>
      <c r="AC35" s="128"/>
      <c r="AD35" s="130"/>
      <c r="AE35" s="130"/>
      <c r="AF35" s="130"/>
      <c r="AG35" s="130"/>
      <c r="AH35" s="130"/>
      <c r="AI35" s="130"/>
      <c r="AJ35" s="130"/>
      <c r="AK35" s="130"/>
      <c r="AL35" s="130"/>
      <c r="AM35" s="130"/>
      <c r="AN35" s="130"/>
    </row>
    <row r="36" hidden="1">
      <c r="A36" s="196" t="s">
        <v>515</v>
      </c>
      <c r="B36" s="132">
        <v>22.0</v>
      </c>
      <c r="C36" s="133">
        <v>36.0</v>
      </c>
      <c r="D36" s="133" t="s">
        <v>59</v>
      </c>
      <c r="E36" s="130"/>
      <c r="F36" s="130"/>
      <c r="G36" s="130"/>
      <c r="H36" s="130"/>
      <c r="I36" s="130"/>
      <c r="J36" s="130"/>
      <c r="K36" s="130"/>
      <c r="L36" s="130"/>
      <c r="M36" s="130"/>
      <c r="N36" s="130"/>
      <c r="O36" s="130"/>
      <c r="P36" s="130"/>
      <c r="Q36" s="133"/>
      <c r="R36" s="133"/>
      <c r="S36" s="133"/>
      <c r="T36" s="133"/>
      <c r="U36" s="134"/>
      <c r="V36" s="133"/>
      <c r="W36" s="133"/>
      <c r="X36" s="133"/>
      <c r="Y36" s="133"/>
      <c r="Z36" s="133"/>
      <c r="AA36" s="133"/>
      <c r="AB36" s="133"/>
      <c r="AC36" s="130"/>
      <c r="AD36" s="130"/>
      <c r="AE36" s="130"/>
      <c r="AF36" s="130"/>
      <c r="AG36" s="130"/>
      <c r="AH36" s="130"/>
      <c r="AI36" s="130"/>
      <c r="AJ36" s="130"/>
      <c r="AK36" s="130"/>
      <c r="AL36" s="130"/>
      <c r="AM36" s="130"/>
      <c r="AN36" s="130"/>
    </row>
    <row r="37" ht="24.75" customHeight="1">
      <c r="A37" s="196" t="s">
        <v>516</v>
      </c>
      <c r="B37" s="132">
        <v>29.0</v>
      </c>
      <c r="C37" s="133">
        <v>33.0</v>
      </c>
      <c r="D37" s="133">
        <v>34.0</v>
      </c>
      <c r="E37" s="133">
        <v>30.0</v>
      </c>
      <c r="F37" s="133">
        <v>33.0</v>
      </c>
      <c r="G37" s="133">
        <v>35.0</v>
      </c>
      <c r="H37" s="133">
        <v>33.0</v>
      </c>
      <c r="I37" s="133">
        <v>16.0</v>
      </c>
      <c r="J37" s="133">
        <v>29.0</v>
      </c>
      <c r="K37" s="133">
        <v>25.0</v>
      </c>
      <c r="L37" s="133">
        <v>25.0</v>
      </c>
      <c r="M37" s="133">
        <v>22.0</v>
      </c>
      <c r="N37" s="133">
        <v>19.0</v>
      </c>
      <c r="O37" s="133">
        <v>11.0</v>
      </c>
      <c r="P37" s="133">
        <v>20.0</v>
      </c>
      <c r="Q37" s="133">
        <v>39.0</v>
      </c>
      <c r="R37" s="133">
        <v>9.0</v>
      </c>
      <c r="S37" s="133">
        <v>26.0</v>
      </c>
      <c r="T37" s="133">
        <v>26.0</v>
      </c>
      <c r="U37" s="134">
        <v>29.0</v>
      </c>
      <c r="V37" s="130"/>
      <c r="W37" s="133">
        <v>32.0</v>
      </c>
      <c r="X37" s="130"/>
      <c r="Y37" s="130"/>
      <c r="Z37" s="130"/>
      <c r="AA37" s="130"/>
      <c r="AB37" s="130"/>
      <c r="AC37" s="130"/>
      <c r="AD37" s="130"/>
      <c r="AE37" s="130"/>
      <c r="AF37" s="130"/>
      <c r="AG37" s="130"/>
      <c r="AH37" s="130"/>
      <c r="AI37" s="130"/>
      <c r="AJ37" s="130"/>
      <c r="AK37" s="130"/>
      <c r="AL37" s="130"/>
      <c r="AM37" s="130"/>
      <c r="AN37" s="130"/>
    </row>
    <row r="38" hidden="1">
      <c r="A38" s="196" t="s">
        <v>517</v>
      </c>
      <c r="B38" s="132" t="s">
        <v>59</v>
      </c>
      <c r="C38" s="133" t="s">
        <v>59</v>
      </c>
      <c r="D38" s="130"/>
      <c r="E38" s="130"/>
      <c r="F38" s="130"/>
      <c r="G38" s="130"/>
      <c r="H38" s="130"/>
      <c r="I38" s="130"/>
      <c r="J38" s="130"/>
      <c r="K38" s="130"/>
      <c r="L38" s="130"/>
      <c r="M38" s="130"/>
      <c r="N38" s="130"/>
      <c r="O38" s="130"/>
      <c r="P38" s="130"/>
      <c r="Q38" s="133"/>
      <c r="R38" s="133"/>
      <c r="S38" s="133"/>
      <c r="T38" s="133"/>
      <c r="U38" s="134"/>
      <c r="V38" s="133"/>
      <c r="W38" s="133"/>
      <c r="X38" s="133"/>
      <c r="Y38" s="133"/>
      <c r="Z38" s="133"/>
      <c r="AA38" s="133"/>
      <c r="AB38" s="133"/>
      <c r="AC38" s="130"/>
      <c r="AD38" s="130"/>
      <c r="AE38" s="130"/>
      <c r="AF38" s="130"/>
      <c r="AG38" s="130"/>
      <c r="AH38" s="130"/>
      <c r="AI38" s="130"/>
      <c r="AJ38" s="130"/>
      <c r="AK38" s="130"/>
      <c r="AL38" s="130"/>
      <c r="AM38" s="130"/>
      <c r="AN38" s="130"/>
    </row>
    <row r="39">
      <c r="A39" s="198" t="s">
        <v>518</v>
      </c>
      <c r="B39" s="132"/>
      <c r="C39" s="133"/>
      <c r="D39" s="133"/>
      <c r="E39" s="133"/>
      <c r="F39" s="133"/>
      <c r="G39" s="133"/>
      <c r="H39" s="130"/>
      <c r="I39" s="130"/>
      <c r="J39" s="130"/>
      <c r="K39" s="133">
        <v>18.0</v>
      </c>
      <c r="L39" s="133">
        <v>15.0</v>
      </c>
      <c r="M39" s="133">
        <v>27.0</v>
      </c>
      <c r="N39" s="133">
        <v>19.0</v>
      </c>
      <c r="O39" s="133">
        <v>24.0</v>
      </c>
      <c r="P39" s="133">
        <v>26.0</v>
      </c>
      <c r="Q39" s="133">
        <v>36.0</v>
      </c>
      <c r="R39" s="133">
        <v>5.0</v>
      </c>
      <c r="S39" s="133">
        <v>21.0</v>
      </c>
      <c r="T39" s="133">
        <v>19.0</v>
      </c>
      <c r="U39" s="134">
        <v>24.0</v>
      </c>
      <c r="V39" s="133"/>
      <c r="W39" s="133">
        <v>8.0</v>
      </c>
      <c r="X39" s="133"/>
      <c r="Y39" s="133"/>
      <c r="Z39" s="133"/>
      <c r="AA39" s="133"/>
      <c r="AB39" s="133"/>
      <c r="AC39" s="130"/>
      <c r="AD39" s="130"/>
      <c r="AE39" s="130"/>
      <c r="AF39" s="130"/>
      <c r="AG39" s="130"/>
      <c r="AH39" s="130"/>
      <c r="AI39" s="130"/>
      <c r="AJ39" s="130"/>
      <c r="AK39" s="130"/>
      <c r="AL39" s="130"/>
      <c r="AM39" s="130"/>
      <c r="AN39" s="130"/>
    </row>
    <row r="40">
      <c r="A40" s="198" t="s">
        <v>519</v>
      </c>
      <c r="B40" s="132"/>
      <c r="C40" s="133"/>
      <c r="D40" s="133"/>
      <c r="E40" s="133"/>
      <c r="F40" s="133"/>
      <c r="G40" s="133"/>
      <c r="H40" s="130"/>
      <c r="I40" s="130"/>
      <c r="J40" s="130"/>
      <c r="K40" s="130"/>
      <c r="L40" s="130"/>
      <c r="M40" s="133">
        <v>10.0</v>
      </c>
      <c r="N40" s="133">
        <v>16.0</v>
      </c>
      <c r="O40" s="133">
        <v>22.0</v>
      </c>
      <c r="P40" s="133">
        <v>20.0</v>
      </c>
      <c r="Q40" s="133">
        <v>15.0</v>
      </c>
      <c r="R40" s="133">
        <v>12.0</v>
      </c>
      <c r="S40" s="133">
        <v>21.0</v>
      </c>
      <c r="T40" s="133">
        <v>19.0</v>
      </c>
      <c r="U40" s="134">
        <v>19.0</v>
      </c>
      <c r="V40" s="133"/>
      <c r="W40" s="133">
        <v>23.0</v>
      </c>
      <c r="X40" s="133"/>
      <c r="Y40" s="133"/>
      <c r="Z40" s="133"/>
      <c r="AA40" s="133"/>
      <c r="AB40" s="133"/>
      <c r="AC40" s="130"/>
      <c r="AD40" s="130"/>
      <c r="AE40" s="130"/>
      <c r="AF40" s="130"/>
      <c r="AG40" s="130"/>
      <c r="AH40" s="130"/>
      <c r="AI40" s="130"/>
      <c r="AJ40" s="130"/>
      <c r="AK40" s="130"/>
      <c r="AL40" s="130"/>
      <c r="AM40" s="130"/>
      <c r="AN40" s="130"/>
    </row>
    <row r="41">
      <c r="A41" s="198" t="s">
        <v>520</v>
      </c>
      <c r="B41" s="132"/>
      <c r="C41" s="133"/>
      <c r="D41" s="133"/>
      <c r="E41" s="133"/>
      <c r="F41" s="133"/>
      <c r="G41" s="133"/>
      <c r="H41" s="130"/>
      <c r="I41" s="130"/>
      <c r="J41" s="130"/>
      <c r="K41" s="130"/>
      <c r="L41" s="130"/>
      <c r="M41" s="130"/>
      <c r="N41" s="133">
        <v>8.0</v>
      </c>
      <c r="O41" s="133">
        <v>15.0</v>
      </c>
      <c r="P41" s="133">
        <v>19.0</v>
      </c>
      <c r="Q41" s="133">
        <v>19.0</v>
      </c>
      <c r="R41" s="133">
        <v>13.0</v>
      </c>
      <c r="S41" s="133">
        <v>21.0</v>
      </c>
      <c r="T41" s="133">
        <v>16.0</v>
      </c>
      <c r="U41" s="134">
        <v>16.0</v>
      </c>
      <c r="V41" s="133"/>
      <c r="W41" s="133">
        <v>23.0</v>
      </c>
      <c r="X41" s="133"/>
      <c r="Y41" s="133"/>
      <c r="Z41" s="133"/>
      <c r="AA41" s="133"/>
      <c r="AB41" s="133"/>
      <c r="AC41" s="130"/>
      <c r="AD41" s="130"/>
      <c r="AE41" s="130"/>
      <c r="AF41" s="130"/>
      <c r="AG41" s="130"/>
      <c r="AH41" s="130"/>
      <c r="AI41" s="130"/>
      <c r="AJ41" s="130"/>
      <c r="AK41" s="130"/>
      <c r="AL41" s="130"/>
      <c r="AM41" s="130"/>
      <c r="AN41" s="130"/>
    </row>
    <row r="42">
      <c r="A42" s="198" t="s">
        <v>521</v>
      </c>
      <c r="B42" s="132"/>
      <c r="C42" s="133"/>
      <c r="D42" s="133"/>
      <c r="E42" s="133"/>
      <c r="F42" s="133"/>
      <c r="G42" s="133"/>
      <c r="H42" s="130"/>
      <c r="I42" s="130"/>
      <c r="J42" s="130"/>
      <c r="K42" s="130"/>
      <c r="L42" s="130"/>
      <c r="M42" s="130"/>
      <c r="N42" s="133"/>
      <c r="O42" s="133"/>
      <c r="P42" s="133"/>
      <c r="Q42" s="133"/>
      <c r="R42" s="133"/>
      <c r="S42" s="133">
        <v>13.0</v>
      </c>
      <c r="T42" s="133">
        <v>4.0</v>
      </c>
      <c r="U42" s="134">
        <v>14.0</v>
      </c>
      <c r="V42" s="133"/>
      <c r="W42" s="133"/>
      <c r="X42" s="133"/>
      <c r="Y42" s="133"/>
      <c r="Z42" s="133"/>
      <c r="AA42" s="133"/>
      <c r="AB42" s="133"/>
      <c r="AC42" s="130"/>
      <c r="AD42" s="130"/>
      <c r="AE42" s="130"/>
      <c r="AF42" s="130"/>
      <c r="AG42" s="130"/>
      <c r="AH42" s="130"/>
      <c r="AI42" s="130"/>
      <c r="AJ42" s="130"/>
      <c r="AK42" s="130"/>
      <c r="AL42" s="130"/>
      <c r="AM42" s="130"/>
      <c r="AN42" s="130"/>
    </row>
    <row r="43">
      <c r="A43" s="196" t="s">
        <v>522</v>
      </c>
      <c r="B43" s="132">
        <v>8.0</v>
      </c>
      <c r="C43" s="133">
        <v>3.0</v>
      </c>
      <c r="D43" s="133">
        <v>13.0</v>
      </c>
      <c r="E43" s="133" t="s">
        <v>59</v>
      </c>
      <c r="F43" s="133" t="s">
        <v>59</v>
      </c>
      <c r="G43" s="133">
        <v>8.0</v>
      </c>
      <c r="H43" s="130"/>
      <c r="I43" s="130"/>
      <c r="J43" s="130"/>
      <c r="K43" s="130"/>
      <c r="L43" s="130"/>
      <c r="M43" s="130"/>
      <c r="N43" s="130"/>
      <c r="O43" s="130"/>
      <c r="P43" s="130"/>
      <c r="Q43" s="133"/>
      <c r="R43" s="133"/>
      <c r="S43" s="133"/>
      <c r="T43" s="133"/>
      <c r="U43" s="134"/>
      <c r="V43" s="133"/>
      <c r="W43" s="133"/>
      <c r="X43" s="133"/>
      <c r="Y43" s="133"/>
      <c r="Z43" s="133"/>
      <c r="AA43" s="133"/>
      <c r="AB43" s="133"/>
      <c r="AC43" s="130"/>
      <c r="AD43" s="130"/>
      <c r="AE43" s="130"/>
      <c r="AF43" s="130"/>
      <c r="AG43" s="130"/>
      <c r="AH43" s="130"/>
      <c r="AI43" s="130"/>
      <c r="AJ43" s="130"/>
      <c r="AK43" s="130"/>
      <c r="AL43" s="130"/>
      <c r="AM43" s="130"/>
      <c r="AN43" s="130"/>
    </row>
    <row r="44">
      <c r="A44" s="126" t="s">
        <v>46</v>
      </c>
      <c r="B44" s="127"/>
      <c r="C44" s="128"/>
      <c r="D44" s="128"/>
      <c r="E44" s="128"/>
      <c r="F44" s="128"/>
      <c r="G44" s="128"/>
      <c r="H44" s="128"/>
      <c r="I44" s="128"/>
      <c r="J44" s="128"/>
      <c r="K44" s="128"/>
      <c r="L44" s="128"/>
      <c r="M44" s="128"/>
      <c r="N44" s="128"/>
      <c r="O44" s="128"/>
      <c r="P44" s="128"/>
      <c r="Q44" s="128"/>
      <c r="R44" s="128"/>
      <c r="S44" s="128"/>
      <c r="T44" s="128"/>
      <c r="U44" s="129"/>
      <c r="V44" s="128"/>
      <c r="W44" s="128"/>
      <c r="X44" s="128"/>
      <c r="Y44" s="128"/>
      <c r="Z44" s="128"/>
      <c r="AA44" s="128"/>
      <c r="AB44" s="128"/>
      <c r="AC44" s="128"/>
      <c r="AD44" s="130"/>
      <c r="AE44" s="130"/>
      <c r="AF44" s="130"/>
      <c r="AG44" s="130"/>
      <c r="AH44" s="130"/>
      <c r="AI44" s="130"/>
      <c r="AJ44" s="130"/>
      <c r="AK44" s="130"/>
      <c r="AL44" s="130"/>
      <c r="AM44" s="130"/>
      <c r="AN44" s="130"/>
    </row>
    <row r="45" hidden="1">
      <c r="A45" s="196" t="s">
        <v>515</v>
      </c>
      <c r="B45" s="132">
        <v>18.0</v>
      </c>
      <c r="C45" s="133">
        <v>11.0</v>
      </c>
      <c r="D45" s="133" t="s">
        <v>59</v>
      </c>
      <c r="E45" s="133"/>
      <c r="F45" s="133"/>
      <c r="G45" s="133"/>
      <c r="H45" s="133"/>
      <c r="I45" s="133"/>
      <c r="J45" s="133"/>
      <c r="K45" s="133"/>
      <c r="L45" s="133"/>
      <c r="M45" s="133"/>
      <c r="N45" s="133"/>
      <c r="O45" s="133"/>
      <c r="P45" s="133"/>
      <c r="Q45" s="133"/>
      <c r="R45" s="133"/>
      <c r="S45" s="133"/>
      <c r="T45" s="133"/>
      <c r="U45" s="134"/>
      <c r="V45" s="133"/>
      <c r="W45" s="133"/>
      <c r="X45" s="133"/>
      <c r="Y45" s="133"/>
      <c r="Z45" s="133"/>
      <c r="AA45" s="133"/>
      <c r="AB45" s="130"/>
      <c r="AC45" s="130"/>
      <c r="AD45" s="130"/>
      <c r="AE45" s="130"/>
      <c r="AF45" s="130"/>
      <c r="AG45" s="130"/>
      <c r="AH45" s="130"/>
      <c r="AI45" s="130"/>
      <c r="AJ45" s="130"/>
      <c r="AK45" s="130"/>
      <c r="AL45" s="130"/>
      <c r="AM45" s="130"/>
      <c r="AN45" s="130"/>
    </row>
    <row r="46" hidden="1">
      <c r="A46" s="399" t="s">
        <v>367</v>
      </c>
      <c r="B46" s="400" t="str">
        <f>HYPERLINK("https://winsider.atlassian.net/browse/MOB-17212?atlOrigin=eyJpIjoiYzgwYTQ0ZjEyNzQzNGJhN2JmNjEyZTM0NmRhZWZhNjIiLCJwIjoic2hlZXRzLWppcmEifQ","MOB-17212")</f>
        <v>MOB-17212</v>
      </c>
      <c r="C46" s="133"/>
      <c r="D46" s="133"/>
      <c r="E46" s="130"/>
      <c r="F46" s="133"/>
      <c r="G46" s="133"/>
      <c r="H46" s="133"/>
      <c r="I46" s="130"/>
      <c r="J46" s="130"/>
      <c r="K46" s="130"/>
      <c r="L46" s="130"/>
      <c r="M46" s="130"/>
      <c r="N46" s="130"/>
      <c r="O46" s="130"/>
      <c r="P46" s="130"/>
      <c r="Q46" s="130"/>
      <c r="R46" s="130"/>
      <c r="S46" s="130"/>
      <c r="T46" s="130"/>
      <c r="U46" s="135"/>
      <c r="V46" s="130"/>
      <c r="W46" s="130"/>
      <c r="X46" s="130"/>
      <c r="Y46" s="130"/>
      <c r="Z46" s="130"/>
      <c r="AA46" s="130"/>
      <c r="AB46" s="130"/>
      <c r="AC46" s="130"/>
      <c r="AD46" s="130"/>
      <c r="AE46" s="130"/>
      <c r="AF46" s="130"/>
      <c r="AG46" s="130"/>
      <c r="AH46" s="130"/>
      <c r="AI46" s="130"/>
      <c r="AJ46" s="130"/>
      <c r="AK46" s="130"/>
      <c r="AL46" s="130"/>
      <c r="AM46" s="130"/>
      <c r="AN46" s="130"/>
    </row>
    <row r="47">
      <c r="A47" s="196" t="s">
        <v>516</v>
      </c>
      <c r="B47" s="137">
        <v>13.0</v>
      </c>
      <c r="C47" s="133">
        <v>24.0</v>
      </c>
      <c r="D47" s="133">
        <v>32.0</v>
      </c>
      <c r="E47" s="133">
        <v>29.0</v>
      </c>
      <c r="F47" s="133">
        <v>37.0</v>
      </c>
      <c r="G47" s="133">
        <v>37.0</v>
      </c>
      <c r="H47" s="133">
        <v>16.0</v>
      </c>
      <c r="I47" s="133">
        <v>13.0</v>
      </c>
      <c r="J47" s="133">
        <v>24.0</v>
      </c>
      <c r="K47" s="133">
        <v>9.0</v>
      </c>
      <c r="L47" s="133">
        <v>8.0</v>
      </c>
      <c r="M47" s="133">
        <v>15.0</v>
      </c>
      <c r="N47" s="133">
        <v>7.0</v>
      </c>
      <c r="O47" s="133">
        <v>16.0</v>
      </c>
      <c r="P47" s="133">
        <v>17.0</v>
      </c>
      <c r="Q47" s="133">
        <v>16.0</v>
      </c>
      <c r="R47" s="133">
        <v>7.0</v>
      </c>
      <c r="S47" s="133">
        <v>34.0</v>
      </c>
      <c r="T47" s="133">
        <v>22.0</v>
      </c>
      <c r="U47" s="134">
        <v>13.0</v>
      </c>
      <c r="V47" s="130"/>
      <c r="W47" s="130"/>
      <c r="X47" s="130"/>
      <c r="Y47" s="130"/>
      <c r="Z47" s="130"/>
      <c r="AA47" s="130"/>
      <c r="AB47" s="130"/>
      <c r="AC47" s="130"/>
      <c r="AD47" s="130"/>
      <c r="AE47" s="130"/>
      <c r="AF47" s="130"/>
      <c r="AG47" s="130"/>
      <c r="AH47" s="130"/>
      <c r="AI47" s="130"/>
      <c r="AJ47" s="130"/>
      <c r="AK47" s="130"/>
      <c r="AL47" s="130"/>
      <c r="AM47" s="130"/>
      <c r="AN47" s="130"/>
    </row>
    <row r="48" hidden="1">
      <c r="A48" s="399" t="s">
        <v>367</v>
      </c>
      <c r="B48" s="400" t="str">
        <f>HYPERLINK("https://winsider.atlassian.net/browse/MOB-17213?atlOrigin=eyJpIjoiYzgwYTQ0ZjEyNzQzNGJhN2JmNjEyZTM0NmRhZWZhNjIiLCJwIjoic2hlZXRzLWppcmEifQ","MOB-17213")</f>
        <v>MOB-17213</v>
      </c>
      <c r="C48" s="133"/>
      <c r="D48" s="133"/>
      <c r="E48" s="133"/>
      <c r="F48" s="133"/>
      <c r="G48" s="133"/>
      <c r="H48" s="133"/>
      <c r="I48" s="133"/>
      <c r="J48" s="133"/>
      <c r="K48" s="133"/>
      <c r="L48" s="133"/>
      <c r="M48" s="133"/>
      <c r="N48" s="133"/>
      <c r="O48" s="133"/>
      <c r="P48" s="133"/>
      <c r="Q48" s="133"/>
      <c r="R48" s="133"/>
      <c r="S48" s="133"/>
      <c r="T48" s="133"/>
      <c r="U48" s="134"/>
      <c r="V48" s="133"/>
      <c r="W48" s="133"/>
      <c r="X48" s="133"/>
      <c r="Y48" s="133"/>
      <c r="Z48" s="133"/>
      <c r="AA48" s="133"/>
      <c r="AB48" s="130"/>
      <c r="AC48" s="130"/>
      <c r="AD48" s="130"/>
      <c r="AE48" s="130"/>
      <c r="AF48" s="130"/>
      <c r="AG48" s="130"/>
      <c r="AH48" s="130"/>
      <c r="AI48" s="130"/>
      <c r="AJ48" s="130"/>
      <c r="AK48" s="130"/>
      <c r="AL48" s="130"/>
      <c r="AM48" s="130"/>
      <c r="AN48" s="130"/>
    </row>
    <row r="49" hidden="1">
      <c r="A49" s="196" t="s">
        <v>517</v>
      </c>
      <c r="B49" s="137" t="s">
        <v>59</v>
      </c>
      <c r="C49" s="133" t="s">
        <v>59</v>
      </c>
      <c r="D49" s="133"/>
      <c r="E49" s="130"/>
      <c r="F49" s="133"/>
      <c r="G49" s="133"/>
      <c r="H49" s="133"/>
      <c r="I49" s="133"/>
      <c r="J49" s="133"/>
      <c r="K49" s="133"/>
      <c r="L49" s="133"/>
      <c r="M49" s="133"/>
      <c r="N49" s="133"/>
      <c r="O49" s="133"/>
      <c r="P49" s="133"/>
      <c r="Q49" s="133"/>
      <c r="R49" s="133"/>
      <c r="S49" s="133"/>
      <c r="T49" s="133"/>
      <c r="U49" s="134"/>
      <c r="V49" s="133"/>
      <c r="W49" s="133"/>
      <c r="X49" s="133"/>
      <c r="Y49" s="133"/>
      <c r="Z49" s="133"/>
      <c r="AA49" s="133"/>
      <c r="AB49" s="130"/>
      <c r="AC49" s="130"/>
      <c r="AD49" s="130"/>
      <c r="AE49" s="130"/>
      <c r="AF49" s="130"/>
      <c r="AG49" s="130"/>
      <c r="AH49" s="130"/>
      <c r="AI49" s="130"/>
      <c r="AJ49" s="130"/>
      <c r="AK49" s="130"/>
      <c r="AL49" s="130"/>
      <c r="AM49" s="130"/>
      <c r="AN49" s="130"/>
    </row>
    <row r="50">
      <c r="A50" s="198" t="s">
        <v>518</v>
      </c>
      <c r="B50" s="137"/>
      <c r="C50" s="133"/>
      <c r="D50" s="133"/>
      <c r="E50" s="133"/>
      <c r="F50" s="133"/>
      <c r="G50" s="133"/>
      <c r="H50" s="133"/>
      <c r="I50" s="133"/>
      <c r="J50" s="133"/>
      <c r="K50" s="133">
        <v>1.0</v>
      </c>
      <c r="L50" s="133">
        <v>7.0</v>
      </c>
      <c r="M50" s="133">
        <v>27.0</v>
      </c>
      <c r="N50" s="133">
        <v>8.0</v>
      </c>
      <c r="O50" s="133">
        <v>13.0</v>
      </c>
      <c r="P50" s="133">
        <v>5.0</v>
      </c>
      <c r="Q50" s="133">
        <v>3.0</v>
      </c>
      <c r="R50" s="133">
        <v>0.0</v>
      </c>
      <c r="S50" s="133">
        <v>21.0</v>
      </c>
      <c r="T50" s="133">
        <v>9.0</v>
      </c>
      <c r="U50" s="134">
        <v>0.0</v>
      </c>
      <c r="V50" s="133"/>
      <c r="W50" s="133"/>
      <c r="X50" s="133"/>
      <c r="Y50" s="133"/>
      <c r="Z50" s="133"/>
      <c r="AA50" s="133"/>
      <c r="AB50" s="130"/>
      <c r="AC50" s="130"/>
      <c r="AD50" s="130"/>
      <c r="AE50" s="130"/>
      <c r="AF50" s="130"/>
      <c r="AG50" s="130"/>
      <c r="AH50" s="130"/>
      <c r="AI50" s="130"/>
      <c r="AJ50" s="130"/>
      <c r="AK50" s="130"/>
      <c r="AL50" s="130"/>
      <c r="AM50" s="130"/>
      <c r="AN50" s="130"/>
    </row>
    <row r="51">
      <c r="A51" s="198" t="s">
        <v>519</v>
      </c>
      <c r="B51" s="137"/>
      <c r="C51" s="133"/>
      <c r="D51" s="133"/>
      <c r="E51" s="133"/>
      <c r="F51" s="133"/>
      <c r="G51" s="133"/>
      <c r="H51" s="133"/>
      <c r="I51" s="133"/>
      <c r="J51" s="133"/>
      <c r="K51" s="133"/>
      <c r="L51" s="133"/>
      <c r="M51" s="133">
        <v>5.0</v>
      </c>
      <c r="N51" s="133">
        <v>0.0</v>
      </c>
      <c r="O51" s="133">
        <v>9.0</v>
      </c>
      <c r="P51" s="133">
        <v>3.0</v>
      </c>
      <c r="Q51" s="133">
        <v>9.0</v>
      </c>
      <c r="R51" s="133">
        <v>8.0</v>
      </c>
      <c r="S51" s="133">
        <v>13.0</v>
      </c>
      <c r="T51" s="133">
        <v>11.0</v>
      </c>
      <c r="U51" s="134">
        <v>11.0</v>
      </c>
      <c r="V51" s="133"/>
      <c r="W51" s="133"/>
      <c r="X51" s="133"/>
      <c r="Y51" s="133"/>
      <c r="Z51" s="133"/>
      <c r="AA51" s="133"/>
      <c r="AB51" s="130"/>
      <c r="AC51" s="130"/>
      <c r="AD51" s="130"/>
      <c r="AE51" s="130"/>
      <c r="AF51" s="130"/>
      <c r="AG51" s="130"/>
      <c r="AH51" s="130"/>
      <c r="AI51" s="130"/>
      <c r="AJ51" s="130"/>
      <c r="AK51" s="130"/>
      <c r="AL51" s="130"/>
      <c r="AM51" s="130"/>
      <c r="AN51" s="130"/>
    </row>
    <row r="52">
      <c r="A52" s="198" t="s">
        <v>520</v>
      </c>
      <c r="B52" s="137"/>
      <c r="C52" s="133"/>
      <c r="D52" s="133"/>
      <c r="E52" s="133"/>
      <c r="F52" s="133"/>
      <c r="G52" s="133"/>
      <c r="H52" s="133"/>
      <c r="I52" s="133"/>
      <c r="J52" s="133"/>
      <c r="K52" s="133"/>
      <c r="L52" s="133"/>
      <c r="M52" s="133"/>
      <c r="N52" s="133">
        <v>8.0</v>
      </c>
      <c r="O52" s="133">
        <v>0.0</v>
      </c>
      <c r="P52" s="133">
        <v>3.0</v>
      </c>
      <c r="Q52" s="133">
        <v>6.0</v>
      </c>
      <c r="R52" s="133">
        <v>8.0</v>
      </c>
      <c r="S52" s="133">
        <v>18.0</v>
      </c>
      <c r="T52" s="133">
        <v>8.0</v>
      </c>
      <c r="U52" s="134">
        <v>0.0</v>
      </c>
      <c r="V52" s="133"/>
      <c r="W52" s="133"/>
      <c r="X52" s="133"/>
      <c r="Y52" s="133"/>
      <c r="Z52" s="133"/>
      <c r="AA52" s="133"/>
      <c r="AB52" s="130"/>
      <c r="AC52" s="130"/>
      <c r="AD52" s="130"/>
      <c r="AE52" s="130"/>
      <c r="AF52" s="130"/>
      <c r="AG52" s="130"/>
      <c r="AH52" s="130"/>
      <c r="AI52" s="130"/>
      <c r="AJ52" s="130"/>
      <c r="AK52" s="130"/>
      <c r="AL52" s="130"/>
      <c r="AM52" s="130"/>
      <c r="AN52" s="130"/>
    </row>
    <row r="53">
      <c r="A53" s="198" t="s">
        <v>521</v>
      </c>
      <c r="B53" s="137"/>
      <c r="C53" s="133"/>
      <c r="D53" s="133"/>
      <c r="E53" s="133"/>
      <c r="F53" s="133"/>
      <c r="G53" s="133"/>
      <c r="H53" s="133"/>
      <c r="I53" s="133"/>
      <c r="J53" s="133"/>
      <c r="K53" s="133"/>
      <c r="L53" s="133"/>
      <c r="M53" s="133"/>
      <c r="N53" s="133"/>
      <c r="O53" s="133"/>
      <c r="P53" s="133"/>
      <c r="Q53" s="133"/>
      <c r="R53" s="133"/>
      <c r="S53" s="133">
        <v>8.0</v>
      </c>
      <c r="T53" s="133">
        <v>0.0</v>
      </c>
      <c r="U53" s="134">
        <v>11.0</v>
      </c>
      <c r="V53" s="133"/>
      <c r="W53" s="133"/>
      <c r="X53" s="133"/>
      <c r="Y53" s="133"/>
      <c r="Z53" s="133"/>
      <c r="AA53" s="133"/>
      <c r="AB53" s="130"/>
      <c r="AC53" s="130"/>
      <c r="AD53" s="130"/>
      <c r="AE53" s="130"/>
      <c r="AF53" s="130"/>
      <c r="AG53" s="130"/>
      <c r="AH53" s="130"/>
      <c r="AI53" s="130"/>
      <c r="AJ53" s="130"/>
      <c r="AK53" s="130"/>
      <c r="AL53" s="130"/>
      <c r="AM53" s="130"/>
      <c r="AN53" s="130"/>
    </row>
    <row r="54">
      <c r="A54" s="196" t="s">
        <v>522</v>
      </c>
      <c r="B54" s="137">
        <v>8.0</v>
      </c>
      <c r="C54" s="133">
        <v>0.0</v>
      </c>
      <c r="D54" s="133">
        <v>13.0</v>
      </c>
      <c r="E54" s="133"/>
      <c r="F54" s="133" t="s">
        <v>59</v>
      </c>
      <c r="G54" s="133">
        <v>8.0</v>
      </c>
      <c r="H54" s="133"/>
      <c r="I54" s="133"/>
      <c r="J54" s="133"/>
      <c r="K54" s="133"/>
      <c r="L54" s="133"/>
      <c r="M54" s="133"/>
      <c r="N54" s="133"/>
      <c r="O54" s="133"/>
      <c r="P54" s="133"/>
      <c r="Q54" s="133"/>
      <c r="R54" s="133"/>
      <c r="S54" s="133"/>
      <c r="T54" s="133"/>
      <c r="U54" s="134"/>
      <c r="V54" s="133"/>
      <c r="W54" s="133"/>
      <c r="X54" s="133"/>
      <c r="Y54" s="133"/>
      <c r="Z54" s="133"/>
      <c r="AA54" s="133"/>
      <c r="AB54" s="130"/>
      <c r="AC54" s="130"/>
      <c r="AD54" s="130"/>
      <c r="AE54" s="130"/>
      <c r="AF54" s="130"/>
      <c r="AG54" s="130"/>
      <c r="AH54" s="130"/>
      <c r="AI54" s="130"/>
      <c r="AJ54" s="130"/>
      <c r="AK54" s="130"/>
      <c r="AL54" s="130"/>
      <c r="AM54" s="130"/>
      <c r="AN54" s="130"/>
    </row>
    <row r="55">
      <c r="A55" s="319" t="s">
        <v>523</v>
      </c>
      <c r="B55" s="137"/>
      <c r="C55" s="133"/>
      <c r="D55" s="133"/>
      <c r="E55" s="133"/>
      <c r="F55" s="133"/>
      <c r="G55" s="133"/>
      <c r="H55" s="133"/>
      <c r="I55" s="133"/>
      <c r="J55" s="133"/>
      <c r="K55" s="133"/>
      <c r="L55" s="133"/>
      <c r="M55" s="133"/>
      <c r="N55" s="133"/>
      <c r="O55" s="133"/>
      <c r="P55" s="133"/>
      <c r="Q55" s="133"/>
      <c r="R55" s="133"/>
      <c r="S55" s="133"/>
      <c r="T55" s="133"/>
      <c r="U55" s="134"/>
      <c r="V55" s="133"/>
      <c r="W55" s="133"/>
      <c r="X55" s="133"/>
      <c r="Y55" s="133"/>
      <c r="Z55" s="133"/>
      <c r="AA55" s="133"/>
      <c r="AB55" s="130"/>
      <c r="AC55" s="130"/>
      <c r="AD55" s="130"/>
      <c r="AE55" s="130"/>
      <c r="AF55" s="130"/>
      <c r="AG55" s="130"/>
      <c r="AH55" s="130"/>
      <c r="AI55" s="130"/>
      <c r="AJ55" s="130"/>
      <c r="AK55" s="130"/>
      <c r="AL55" s="130"/>
      <c r="AM55" s="130"/>
      <c r="AN55" s="130"/>
    </row>
    <row r="56" hidden="1">
      <c r="A56" s="196" t="s">
        <v>515</v>
      </c>
      <c r="B56" s="401">
        <f t="shared" ref="B56:C56" si="9">B45/B36</f>
        <v>0.8181818182</v>
      </c>
      <c r="C56" s="401">
        <f t="shared" si="9"/>
        <v>0.3055555556</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0"/>
      <c r="AC56" s="130"/>
      <c r="AD56" s="130"/>
      <c r="AE56" s="130"/>
      <c r="AF56" s="130"/>
      <c r="AG56" s="130"/>
      <c r="AH56" s="130"/>
      <c r="AI56" s="130"/>
      <c r="AJ56" s="130"/>
      <c r="AK56" s="130"/>
      <c r="AL56" s="130"/>
      <c r="AM56" s="130"/>
      <c r="AN56" s="130"/>
    </row>
    <row r="57">
      <c r="A57" s="196" t="s">
        <v>516</v>
      </c>
      <c r="B57" s="401">
        <f t="shared" ref="B57:U57" si="10">B47/36</f>
        <v>0.3611111111</v>
      </c>
      <c r="C57" s="401">
        <f t="shared" si="10"/>
        <v>0.6666666667</v>
      </c>
      <c r="D57" s="401">
        <f t="shared" si="10"/>
        <v>0.8888888889</v>
      </c>
      <c r="E57" s="401">
        <f t="shared" si="10"/>
        <v>0.8055555556</v>
      </c>
      <c r="F57" s="401">
        <f t="shared" si="10"/>
        <v>1.027777778</v>
      </c>
      <c r="G57" s="401">
        <f t="shared" si="10"/>
        <v>1.027777778</v>
      </c>
      <c r="H57" s="401">
        <f t="shared" si="10"/>
        <v>0.4444444444</v>
      </c>
      <c r="I57" s="401">
        <f t="shared" si="10"/>
        <v>0.3611111111</v>
      </c>
      <c r="J57" s="401">
        <f t="shared" si="10"/>
        <v>0.6666666667</v>
      </c>
      <c r="K57" s="401">
        <f t="shared" si="10"/>
        <v>0.25</v>
      </c>
      <c r="L57" s="401">
        <f t="shared" si="10"/>
        <v>0.2222222222</v>
      </c>
      <c r="M57" s="401">
        <f t="shared" si="10"/>
        <v>0.4166666667</v>
      </c>
      <c r="N57" s="401">
        <f t="shared" si="10"/>
        <v>0.1944444444</v>
      </c>
      <c r="O57" s="401">
        <f t="shared" si="10"/>
        <v>0.4444444444</v>
      </c>
      <c r="P57" s="401">
        <f t="shared" si="10"/>
        <v>0.4722222222</v>
      </c>
      <c r="Q57" s="401">
        <f t="shared" si="10"/>
        <v>0.4444444444</v>
      </c>
      <c r="R57" s="401">
        <f t="shared" si="10"/>
        <v>0.1944444444</v>
      </c>
      <c r="S57" s="401">
        <f t="shared" si="10"/>
        <v>0.9444444444</v>
      </c>
      <c r="T57" s="401">
        <f t="shared" si="10"/>
        <v>0.6111111111</v>
      </c>
      <c r="U57" s="401">
        <f t="shared" si="10"/>
        <v>0.3611111111</v>
      </c>
      <c r="V57" s="133"/>
      <c r="W57" s="133"/>
      <c r="X57" s="133"/>
      <c r="Y57" s="133"/>
      <c r="Z57" s="133"/>
      <c r="AA57" s="133"/>
      <c r="AB57" s="130"/>
      <c r="AC57" s="130"/>
      <c r="AD57" s="130"/>
      <c r="AE57" s="130"/>
      <c r="AF57" s="130"/>
      <c r="AG57" s="130"/>
      <c r="AH57" s="130"/>
      <c r="AI57" s="130"/>
      <c r="AJ57" s="130"/>
      <c r="AK57" s="130"/>
      <c r="AL57" s="130"/>
      <c r="AM57" s="130"/>
      <c r="AN57" s="130"/>
    </row>
    <row r="58" hidden="1">
      <c r="A58" s="196" t="s">
        <v>517</v>
      </c>
      <c r="B58" s="137" t="s">
        <v>59</v>
      </c>
      <c r="C58" s="137" t="s">
        <v>59</v>
      </c>
      <c r="D58" s="137" t="s">
        <v>59</v>
      </c>
      <c r="E58" s="137" t="s">
        <v>59</v>
      </c>
      <c r="F58" s="137" t="s">
        <v>59</v>
      </c>
      <c r="G58" s="137" t="s">
        <v>59</v>
      </c>
      <c r="H58" s="137" t="s">
        <v>59</v>
      </c>
      <c r="I58" s="133"/>
      <c r="J58" s="133"/>
      <c r="K58" s="133"/>
      <c r="L58" s="133"/>
      <c r="M58" s="133"/>
      <c r="N58" s="133"/>
      <c r="O58" s="133"/>
      <c r="P58" s="133"/>
      <c r="Q58" s="133"/>
      <c r="R58" s="133"/>
      <c r="S58" s="133"/>
      <c r="T58" s="133"/>
      <c r="U58" s="133"/>
      <c r="V58" s="133"/>
      <c r="W58" s="133"/>
      <c r="X58" s="133"/>
      <c r="Y58" s="133"/>
      <c r="Z58" s="133"/>
      <c r="AA58" s="133"/>
      <c r="AB58" s="130"/>
      <c r="AC58" s="130"/>
      <c r="AD58" s="130"/>
      <c r="AE58" s="130"/>
      <c r="AF58" s="130"/>
      <c r="AG58" s="130"/>
      <c r="AH58" s="130"/>
      <c r="AI58" s="130"/>
      <c r="AJ58" s="130"/>
      <c r="AK58" s="130"/>
      <c r="AL58" s="130"/>
      <c r="AM58" s="130"/>
      <c r="AN58" s="130"/>
    </row>
    <row r="59">
      <c r="A59" s="198" t="s">
        <v>518</v>
      </c>
      <c r="B59" s="401"/>
      <c r="C59" s="401"/>
      <c r="D59" s="401"/>
      <c r="E59" s="401"/>
      <c r="F59" s="401"/>
      <c r="G59" s="401"/>
      <c r="H59" s="401"/>
      <c r="I59" s="133"/>
      <c r="J59" s="133"/>
      <c r="K59" s="402">
        <f t="shared" ref="K59:U59" si="11">K50/K39</f>
        <v>0.05555555556</v>
      </c>
      <c r="L59" s="402">
        <f t="shared" si="11"/>
        <v>0.4666666667</v>
      </c>
      <c r="M59" s="402">
        <f t="shared" si="11"/>
        <v>1</v>
      </c>
      <c r="N59" s="402">
        <f t="shared" si="11"/>
        <v>0.4210526316</v>
      </c>
      <c r="O59" s="402">
        <f t="shared" si="11"/>
        <v>0.5416666667</v>
      </c>
      <c r="P59" s="402">
        <f t="shared" si="11"/>
        <v>0.1923076923</v>
      </c>
      <c r="Q59" s="402">
        <f t="shared" si="11"/>
        <v>0.08333333333</v>
      </c>
      <c r="R59" s="402">
        <f t="shared" si="11"/>
        <v>0</v>
      </c>
      <c r="S59" s="402">
        <f t="shared" si="11"/>
        <v>1</v>
      </c>
      <c r="T59" s="402">
        <f t="shared" si="11"/>
        <v>0.4736842105</v>
      </c>
      <c r="U59" s="402">
        <f t="shared" si="11"/>
        <v>0</v>
      </c>
      <c r="V59" s="133"/>
      <c r="W59" s="133"/>
      <c r="X59" s="133"/>
      <c r="Y59" s="133"/>
      <c r="Z59" s="133"/>
      <c r="AA59" s="133"/>
      <c r="AB59" s="130"/>
      <c r="AC59" s="130"/>
      <c r="AD59" s="130"/>
      <c r="AE59" s="130"/>
      <c r="AF59" s="130"/>
      <c r="AG59" s="130"/>
      <c r="AH59" s="130"/>
      <c r="AI59" s="130"/>
      <c r="AJ59" s="130"/>
      <c r="AK59" s="130"/>
      <c r="AL59" s="130"/>
      <c r="AM59" s="130"/>
      <c r="AN59" s="130"/>
    </row>
    <row r="60">
      <c r="A60" s="198" t="s">
        <v>519</v>
      </c>
      <c r="B60" s="401"/>
      <c r="C60" s="401"/>
      <c r="D60" s="401"/>
      <c r="E60" s="401"/>
      <c r="F60" s="401"/>
      <c r="G60" s="401"/>
      <c r="H60" s="401"/>
      <c r="I60" s="133"/>
      <c r="J60" s="133"/>
      <c r="K60" s="133"/>
      <c r="L60" s="133"/>
      <c r="M60" s="402">
        <f t="shared" ref="M60:U60" si="12">M51/M40</f>
        <v>0.5</v>
      </c>
      <c r="N60" s="402">
        <f t="shared" si="12"/>
        <v>0</v>
      </c>
      <c r="O60" s="402">
        <f t="shared" si="12"/>
        <v>0.4090909091</v>
      </c>
      <c r="P60" s="402">
        <f t="shared" si="12"/>
        <v>0.15</v>
      </c>
      <c r="Q60" s="402">
        <f t="shared" si="12"/>
        <v>0.6</v>
      </c>
      <c r="R60" s="402">
        <f t="shared" si="12"/>
        <v>0.6666666667</v>
      </c>
      <c r="S60" s="402">
        <f t="shared" si="12"/>
        <v>0.619047619</v>
      </c>
      <c r="T60" s="402">
        <f t="shared" si="12"/>
        <v>0.5789473684</v>
      </c>
      <c r="U60" s="402">
        <f t="shared" si="12"/>
        <v>0.5789473684</v>
      </c>
      <c r="V60" s="133"/>
      <c r="W60" s="133"/>
      <c r="X60" s="133"/>
      <c r="Y60" s="133"/>
      <c r="Z60" s="133"/>
      <c r="AA60" s="133"/>
      <c r="AB60" s="130"/>
      <c r="AC60" s="130"/>
      <c r="AD60" s="130"/>
      <c r="AE60" s="130"/>
      <c r="AF60" s="130"/>
      <c r="AG60" s="130"/>
      <c r="AH60" s="130"/>
      <c r="AI60" s="130"/>
      <c r="AJ60" s="130"/>
      <c r="AK60" s="130"/>
      <c r="AL60" s="130"/>
      <c r="AM60" s="130"/>
      <c r="AN60" s="130"/>
    </row>
    <row r="61">
      <c r="A61" s="198" t="s">
        <v>520</v>
      </c>
      <c r="B61" s="401"/>
      <c r="C61" s="401"/>
      <c r="D61" s="401"/>
      <c r="E61" s="401"/>
      <c r="F61" s="401"/>
      <c r="G61" s="401"/>
      <c r="H61" s="401"/>
      <c r="I61" s="133"/>
      <c r="J61" s="133"/>
      <c r="K61" s="133"/>
      <c r="L61" s="133"/>
      <c r="M61" s="133" t="str">
        <f t="shared" ref="M61:U61" si="13">M52/M41</f>
        <v>#DIV/0!</v>
      </c>
      <c r="N61" s="402">
        <f t="shared" si="13"/>
        <v>1</v>
      </c>
      <c r="O61" s="402">
        <f t="shared" si="13"/>
        <v>0</v>
      </c>
      <c r="P61" s="402">
        <f t="shared" si="13"/>
        <v>0.1578947368</v>
      </c>
      <c r="Q61" s="402">
        <f t="shared" si="13"/>
        <v>0.3157894737</v>
      </c>
      <c r="R61" s="402">
        <f t="shared" si="13"/>
        <v>0.6153846154</v>
      </c>
      <c r="S61" s="402">
        <f t="shared" si="13"/>
        <v>0.8571428571</v>
      </c>
      <c r="T61" s="402">
        <f t="shared" si="13"/>
        <v>0.5</v>
      </c>
      <c r="U61" s="402">
        <f t="shared" si="13"/>
        <v>0</v>
      </c>
      <c r="V61" s="133"/>
      <c r="W61" s="133"/>
      <c r="X61" s="133"/>
      <c r="Y61" s="133"/>
      <c r="Z61" s="133"/>
      <c r="AA61" s="133"/>
      <c r="AB61" s="130"/>
      <c r="AC61" s="130"/>
      <c r="AD61" s="130"/>
      <c r="AE61" s="130"/>
      <c r="AF61" s="130"/>
      <c r="AG61" s="130"/>
      <c r="AH61" s="130"/>
      <c r="AI61" s="130"/>
      <c r="AJ61" s="130"/>
      <c r="AK61" s="130"/>
      <c r="AL61" s="130"/>
      <c r="AM61" s="130"/>
      <c r="AN61" s="130"/>
    </row>
    <row r="62">
      <c r="A62" s="198" t="s">
        <v>521</v>
      </c>
      <c r="B62" s="401"/>
      <c r="C62" s="401"/>
      <c r="D62" s="401"/>
      <c r="E62" s="401"/>
      <c r="F62" s="401"/>
      <c r="G62" s="401"/>
      <c r="H62" s="401"/>
      <c r="I62" s="133"/>
      <c r="J62" s="133"/>
      <c r="K62" s="133"/>
      <c r="L62" s="133"/>
      <c r="M62" s="133"/>
      <c r="N62" s="402"/>
      <c r="O62" s="402"/>
      <c r="P62" s="402"/>
      <c r="Q62" s="402"/>
      <c r="R62" s="402"/>
      <c r="S62" s="402">
        <f t="shared" ref="S62:U62" si="14">S53/S42</f>
        <v>0.6153846154</v>
      </c>
      <c r="T62" s="402">
        <f t="shared" si="14"/>
        <v>0</v>
      </c>
      <c r="U62" s="402">
        <f t="shared" si="14"/>
        <v>0.7857142857</v>
      </c>
      <c r="V62" s="133"/>
      <c r="W62" s="133"/>
      <c r="X62" s="133"/>
      <c r="Y62" s="133"/>
      <c r="Z62" s="133"/>
      <c r="AA62" s="133"/>
      <c r="AB62" s="130"/>
      <c r="AC62" s="130"/>
      <c r="AD62" s="130"/>
      <c r="AE62" s="130"/>
      <c r="AF62" s="130"/>
      <c r="AG62" s="130"/>
      <c r="AH62" s="130"/>
      <c r="AI62" s="130"/>
      <c r="AJ62" s="130"/>
      <c r="AK62" s="130"/>
      <c r="AL62" s="130"/>
      <c r="AM62" s="130"/>
      <c r="AN62" s="130"/>
    </row>
    <row r="63">
      <c r="A63" s="196" t="s">
        <v>522</v>
      </c>
      <c r="B63" s="401">
        <f t="shared" ref="B63:H63" si="15">B54/B43</f>
        <v>1</v>
      </c>
      <c r="C63" s="401">
        <f t="shared" si="15"/>
        <v>0</v>
      </c>
      <c r="D63" s="401">
        <f t="shared" si="15"/>
        <v>1</v>
      </c>
      <c r="E63" s="401" t="str">
        <f t="shared" si="15"/>
        <v>#VALUE!</v>
      </c>
      <c r="F63" s="401" t="str">
        <f t="shared" si="15"/>
        <v>#VALUE!</v>
      </c>
      <c r="G63" s="401">
        <f t="shared" si="15"/>
        <v>1</v>
      </c>
      <c r="H63" s="401" t="str">
        <f t="shared" si="15"/>
        <v>#DIV/0!</v>
      </c>
      <c r="I63" s="133"/>
      <c r="J63" s="133"/>
      <c r="K63" s="133"/>
      <c r="L63" s="133"/>
      <c r="M63" s="133"/>
      <c r="N63" s="133"/>
      <c r="O63" s="133"/>
      <c r="P63" s="133"/>
      <c r="Q63" s="133"/>
      <c r="R63" s="133"/>
      <c r="S63" s="133"/>
      <c r="T63" s="133"/>
      <c r="U63" s="134"/>
      <c r="V63" s="133"/>
      <c r="W63" s="133"/>
      <c r="X63" s="133"/>
      <c r="Y63" s="133"/>
      <c r="Z63" s="133"/>
      <c r="AA63" s="133"/>
      <c r="AB63" s="130"/>
      <c r="AC63" s="130"/>
      <c r="AD63" s="130"/>
      <c r="AE63" s="130"/>
      <c r="AF63" s="130"/>
      <c r="AG63" s="130"/>
      <c r="AH63" s="130"/>
      <c r="AI63" s="130"/>
      <c r="AJ63" s="130"/>
      <c r="AK63" s="130"/>
      <c r="AL63" s="130"/>
      <c r="AM63" s="130"/>
      <c r="AN63" s="130"/>
    </row>
    <row r="64">
      <c r="A64" s="262" t="s">
        <v>225</v>
      </c>
      <c r="B64" s="138"/>
      <c r="I64" s="403"/>
      <c r="U64" s="31"/>
      <c r="W64" s="199">
        <v>28.0</v>
      </c>
      <c r="AA64" s="262"/>
    </row>
    <row r="65">
      <c r="B65" s="138"/>
      <c r="U65" s="31"/>
    </row>
    <row r="66">
      <c r="B66" s="138"/>
      <c r="U66" s="31"/>
    </row>
    <row r="67">
      <c r="B67" s="138"/>
      <c r="U67" s="31"/>
    </row>
    <row r="68">
      <c r="B68" s="138"/>
      <c r="U68" s="31"/>
    </row>
    <row r="69">
      <c r="B69" s="138"/>
      <c r="U69" s="31"/>
    </row>
    <row r="70">
      <c r="B70" s="138"/>
      <c r="U70" s="31"/>
    </row>
    <row r="71">
      <c r="B71" s="138"/>
      <c r="U71" s="31"/>
    </row>
    <row r="72">
      <c r="B72" s="138"/>
      <c r="U72" s="31"/>
    </row>
    <row r="73">
      <c r="B73" s="138"/>
      <c r="U73" s="31"/>
    </row>
    <row r="74">
      <c r="B74" s="138"/>
      <c r="U74" s="31"/>
    </row>
    <row r="75">
      <c r="B75" s="138"/>
      <c r="U75" s="31"/>
    </row>
    <row r="76">
      <c r="B76" s="138"/>
      <c r="U76" s="31"/>
    </row>
    <row r="77">
      <c r="B77" s="138"/>
      <c r="U77" s="31"/>
    </row>
    <row r="78">
      <c r="B78" s="138"/>
      <c r="U78" s="31"/>
    </row>
    <row r="79">
      <c r="B79" s="138"/>
      <c r="U79" s="31"/>
    </row>
    <row r="80">
      <c r="B80" s="138"/>
      <c r="U80" s="31"/>
    </row>
    <row r="81">
      <c r="B81" s="138"/>
      <c r="U81" s="31"/>
    </row>
    <row r="82">
      <c r="B82" s="138"/>
      <c r="U82" s="31"/>
    </row>
    <row r="83">
      <c r="B83" s="138"/>
      <c r="U83" s="31"/>
    </row>
    <row r="84">
      <c r="B84" s="138"/>
      <c r="U84" s="31"/>
    </row>
    <row r="85">
      <c r="B85" s="138"/>
      <c r="U85" s="31"/>
    </row>
    <row r="86">
      <c r="B86" s="138"/>
      <c r="U86" s="31"/>
    </row>
    <row r="87">
      <c r="B87" s="138"/>
      <c r="U87" s="31"/>
    </row>
    <row r="88">
      <c r="B88" s="138"/>
      <c r="U88" s="31"/>
    </row>
    <row r="89">
      <c r="B89" s="138"/>
      <c r="U89" s="31"/>
    </row>
    <row r="90">
      <c r="B90" s="138"/>
      <c r="U90" s="31"/>
    </row>
    <row r="91">
      <c r="B91" s="138"/>
      <c r="U91" s="31"/>
    </row>
    <row r="92">
      <c r="B92" s="138"/>
      <c r="U92" s="31"/>
    </row>
    <row r="93">
      <c r="B93" s="138"/>
      <c r="U93" s="31"/>
    </row>
    <row r="94">
      <c r="B94" s="138"/>
      <c r="U94" s="31"/>
    </row>
    <row r="95">
      <c r="B95" s="138"/>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row r="947">
      <c r="B947" s="138"/>
      <c r="U947" s="31"/>
    </row>
    <row r="948">
      <c r="B948" s="138"/>
      <c r="U948" s="31"/>
    </row>
    <row r="949">
      <c r="B949" s="138"/>
      <c r="U949" s="31"/>
    </row>
    <row r="950">
      <c r="B950" s="138"/>
      <c r="U950" s="31"/>
    </row>
    <row r="951">
      <c r="B951" s="138"/>
      <c r="U951" s="31"/>
    </row>
  </sheetData>
  <mergeCells count="16">
    <mergeCell ref="H3:I3"/>
    <mergeCell ref="J3:L3"/>
    <mergeCell ref="M3:N3"/>
    <mergeCell ref="O3:P3"/>
    <mergeCell ref="Q3:R3"/>
    <mergeCell ref="S3:T3"/>
    <mergeCell ref="U3:V3"/>
    <mergeCell ref="W3:Y3"/>
    <mergeCell ref="B2:H2"/>
    <mergeCell ref="I2:N2"/>
    <mergeCell ref="O2:T2"/>
    <mergeCell ref="U2:AA2"/>
    <mergeCell ref="B3:C3"/>
    <mergeCell ref="D3:E3"/>
    <mergeCell ref="F3:G3"/>
    <mergeCell ref="Z3:AA3"/>
  </mergeCells>
  <dataValidations>
    <dataValidation type="list" allowBlank="1" showErrorMessage="1" sqref="B24:Z24 B32:Z32">
      <formula1>"0%,100%"</formula1>
    </dataValidation>
  </dataValidation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32.13"/>
    <col customWidth="1" min="2" max="2" width="14.75"/>
    <col customWidth="1" min="5" max="5" width="14.0"/>
    <col customWidth="1" min="29" max="29" width="13.5"/>
  </cols>
  <sheetData>
    <row r="1" ht="30.0" customHeight="1">
      <c r="A1" s="1" t="s">
        <v>524</v>
      </c>
      <c r="B1" s="2"/>
      <c r="C1" s="3"/>
      <c r="D1" s="3"/>
      <c r="E1" s="3"/>
      <c r="F1" s="3"/>
      <c r="G1" s="3"/>
      <c r="H1" s="3"/>
      <c r="I1" s="3"/>
      <c r="J1" s="3"/>
      <c r="K1" s="3"/>
      <c r="L1" s="3"/>
      <c r="M1" s="3"/>
      <c r="N1" s="3"/>
      <c r="O1" s="3"/>
      <c r="P1" s="3"/>
      <c r="Q1" s="3"/>
      <c r="R1" s="4"/>
      <c r="S1" s="4"/>
      <c r="T1" s="4"/>
      <c r="U1" s="5"/>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8"/>
      <c r="N2" s="8"/>
      <c r="O2" s="9"/>
      <c r="P2" s="10" t="s">
        <v>4</v>
      </c>
      <c r="Q2" s="8"/>
      <c r="R2" s="8"/>
      <c r="S2" s="8"/>
      <c r="T2" s="8"/>
      <c r="U2" s="9"/>
      <c r="V2" s="11" t="s">
        <v>5</v>
      </c>
      <c r="W2" s="8"/>
      <c r="X2" s="8"/>
      <c r="Y2" s="8"/>
      <c r="Z2" s="8"/>
      <c r="AA2" s="8"/>
      <c r="AB2" s="9"/>
      <c r="AC2" s="12"/>
      <c r="AD2" s="12"/>
      <c r="AE2" s="12"/>
      <c r="AF2" s="12"/>
      <c r="AG2" s="12"/>
      <c r="AH2" s="12"/>
      <c r="AI2" s="12"/>
      <c r="AJ2" s="12"/>
      <c r="AK2" s="12"/>
      <c r="AL2" s="12"/>
      <c r="AM2" s="12"/>
      <c r="AN2" s="12"/>
    </row>
    <row r="3">
      <c r="A3" s="6" t="s">
        <v>6</v>
      </c>
      <c r="B3" s="13" t="s">
        <v>7</v>
      </c>
      <c r="C3" s="14"/>
      <c r="D3" s="15" t="s">
        <v>8</v>
      </c>
      <c r="E3" s="8"/>
      <c r="F3" s="9"/>
      <c r="G3" s="10" t="s">
        <v>9</v>
      </c>
      <c r="H3" s="8"/>
      <c r="I3" s="15" t="s">
        <v>10</v>
      </c>
      <c r="J3" s="8"/>
      <c r="K3" s="10" t="s">
        <v>11</v>
      </c>
      <c r="L3" s="8"/>
      <c r="M3" s="9"/>
      <c r="N3" s="16" t="s">
        <v>12</v>
      </c>
      <c r="O3" s="9"/>
      <c r="P3" s="10" t="s">
        <v>13</v>
      </c>
      <c r="Q3" s="9"/>
      <c r="R3" s="15" t="s">
        <v>14</v>
      </c>
      <c r="S3" s="9"/>
      <c r="T3" s="10" t="s">
        <v>15</v>
      </c>
      <c r="U3" s="9"/>
      <c r="V3" s="17" t="s">
        <v>16</v>
      </c>
      <c r="W3" s="9"/>
      <c r="X3" s="10" t="s">
        <v>17</v>
      </c>
      <c r="Y3" s="8"/>
      <c r="Z3" s="9"/>
      <c r="AA3" s="16" t="s">
        <v>18</v>
      </c>
      <c r="AB3" s="9"/>
      <c r="AC3" s="12"/>
      <c r="AD3" s="12"/>
      <c r="AE3" s="12"/>
      <c r="AF3" s="12"/>
      <c r="AG3" s="12"/>
      <c r="AH3" s="12"/>
      <c r="AI3" s="12"/>
      <c r="AJ3" s="12"/>
      <c r="AK3" s="12"/>
      <c r="AL3" s="12"/>
      <c r="AM3" s="12"/>
      <c r="AN3" s="12"/>
    </row>
    <row r="4">
      <c r="A4" s="6" t="s">
        <v>19</v>
      </c>
      <c r="B4" s="392" t="s">
        <v>525</v>
      </c>
      <c r="C4" s="392" t="s">
        <v>526</v>
      </c>
      <c r="D4" s="392" t="s">
        <v>527</v>
      </c>
      <c r="E4" s="392" t="s">
        <v>528</v>
      </c>
      <c r="F4" s="392" t="s">
        <v>529</v>
      </c>
      <c r="G4" s="392" t="s">
        <v>530</v>
      </c>
      <c r="H4" s="392" t="s">
        <v>531</v>
      </c>
      <c r="I4" s="404" t="s">
        <v>532</v>
      </c>
      <c r="J4" s="404" t="s">
        <v>533</v>
      </c>
      <c r="K4" s="405" t="s">
        <v>534</v>
      </c>
      <c r="L4" s="405" t="s">
        <v>535</v>
      </c>
      <c r="M4" s="405" t="s">
        <v>536</v>
      </c>
      <c r="N4" s="392" t="s">
        <v>537</v>
      </c>
      <c r="O4" s="392" t="s">
        <v>538</v>
      </c>
      <c r="P4" s="392" t="s">
        <v>539</v>
      </c>
      <c r="Q4" s="392" t="s">
        <v>540</v>
      </c>
      <c r="R4" s="392" t="s">
        <v>541</v>
      </c>
      <c r="S4" s="392" t="s">
        <v>542</v>
      </c>
      <c r="T4" s="392" t="s">
        <v>543</v>
      </c>
      <c r="U4" s="392" t="s">
        <v>544</v>
      </c>
      <c r="V4" s="392" t="s">
        <v>545</v>
      </c>
      <c r="W4" s="392" t="s">
        <v>546</v>
      </c>
      <c r="X4" s="19"/>
      <c r="Y4" s="19"/>
      <c r="Z4" s="19"/>
      <c r="AA4" s="19"/>
      <c r="AB4" s="21"/>
      <c r="AC4" s="12"/>
      <c r="AD4" s="12"/>
      <c r="AE4" s="12"/>
      <c r="AF4" s="12"/>
      <c r="AG4" s="12"/>
      <c r="AH4" s="12"/>
      <c r="AI4" s="12"/>
      <c r="AJ4" s="12"/>
      <c r="AK4" s="12"/>
      <c r="AL4" s="12"/>
      <c r="AM4" s="12"/>
      <c r="AN4" s="12"/>
    </row>
    <row r="5">
      <c r="A5" s="22" t="s">
        <v>20</v>
      </c>
      <c r="B5" s="392" t="s">
        <v>485</v>
      </c>
      <c r="C5" s="392" t="s">
        <v>486</v>
      </c>
      <c r="D5" s="392" t="s">
        <v>487</v>
      </c>
      <c r="E5" s="392" t="s">
        <v>488</v>
      </c>
      <c r="F5" s="392" t="s">
        <v>489</v>
      </c>
      <c r="G5" s="392" t="s">
        <v>490</v>
      </c>
      <c r="H5" s="392" t="s">
        <v>491</v>
      </c>
      <c r="I5" s="392" t="s">
        <v>485</v>
      </c>
      <c r="J5" s="392" t="s">
        <v>547</v>
      </c>
      <c r="K5" s="392" t="s">
        <v>548</v>
      </c>
      <c r="L5" s="392" t="s">
        <v>549</v>
      </c>
      <c r="M5" s="392" t="s">
        <v>550</v>
      </c>
      <c r="N5" s="392" t="s">
        <v>551</v>
      </c>
      <c r="O5" s="392" t="s">
        <v>552</v>
      </c>
      <c r="P5" s="392" t="s">
        <v>553</v>
      </c>
      <c r="Q5" s="25" t="s">
        <v>554</v>
      </c>
      <c r="R5" s="25" t="s">
        <v>555</v>
      </c>
      <c r="S5" s="25" t="s">
        <v>556</v>
      </c>
      <c r="T5" s="25" t="s">
        <v>557</v>
      </c>
      <c r="U5" s="25" t="s">
        <v>558</v>
      </c>
      <c r="V5" s="26" t="s">
        <v>559</v>
      </c>
      <c r="W5" s="25" t="s">
        <v>560</v>
      </c>
      <c r="X5" s="24"/>
      <c r="Y5" s="24"/>
      <c r="Z5" s="24"/>
      <c r="AA5" s="25"/>
      <c r="AB5" s="25"/>
      <c r="AC5" s="27"/>
      <c r="AD5" s="28"/>
      <c r="AE5" s="28"/>
      <c r="AF5" s="28"/>
      <c r="AG5" s="28"/>
      <c r="AH5" s="28"/>
      <c r="AI5" s="28"/>
      <c r="AJ5" s="28"/>
      <c r="AK5" s="28"/>
      <c r="AL5" s="28"/>
      <c r="AM5" s="28"/>
      <c r="AN5" s="28"/>
    </row>
    <row r="6">
      <c r="A6" s="29"/>
      <c r="B6" s="30"/>
      <c r="V6" s="31"/>
    </row>
    <row r="7">
      <c r="A7" s="32" t="s">
        <v>21</v>
      </c>
      <c r="B7" s="33">
        <v>103.0</v>
      </c>
      <c r="C7" s="34">
        <v>81.0</v>
      </c>
      <c r="D7" s="34">
        <v>104.0</v>
      </c>
      <c r="E7" s="34">
        <v>94.0</v>
      </c>
      <c r="F7" s="34">
        <v>105.0</v>
      </c>
      <c r="G7" s="34">
        <v>86.0</v>
      </c>
      <c r="H7" s="34">
        <v>83.0</v>
      </c>
      <c r="I7" s="34">
        <v>46.0</v>
      </c>
      <c r="J7" s="34">
        <v>63.0</v>
      </c>
      <c r="K7" s="34">
        <v>113.0</v>
      </c>
      <c r="L7" s="34">
        <v>125.0</v>
      </c>
      <c r="M7" s="34">
        <v>139.0</v>
      </c>
      <c r="N7" s="34">
        <v>88.0</v>
      </c>
      <c r="O7" s="34">
        <v>110.0</v>
      </c>
      <c r="P7" s="34">
        <v>116.0</v>
      </c>
      <c r="Q7" s="34">
        <v>129.0</v>
      </c>
      <c r="R7" s="34">
        <v>90.0</v>
      </c>
      <c r="S7" s="34">
        <v>100.0</v>
      </c>
      <c r="T7" s="34">
        <v>143.0</v>
      </c>
      <c r="U7" s="35">
        <v>198.0</v>
      </c>
      <c r="V7" s="36">
        <v>194.0</v>
      </c>
      <c r="W7" s="34"/>
      <c r="X7" s="34"/>
      <c r="Y7" s="34"/>
      <c r="Z7" s="34"/>
      <c r="AA7" s="34"/>
      <c r="AB7" s="34"/>
    </row>
    <row r="8">
      <c r="A8" s="37" t="s">
        <v>22</v>
      </c>
      <c r="B8" s="38">
        <v>82.0</v>
      </c>
      <c r="C8" s="39">
        <v>71.0</v>
      </c>
      <c r="D8" s="39">
        <v>70.0</v>
      </c>
      <c r="E8" s="39">
        <v>74.0</v>
      </c>
      <c r="F8" s="39">
        <v>89.0</v>
      </c>
      <c r="G8" s="39">
        <v>76.0</v>
      </c>
      <c r="H8" s="39">
        <v>79.0</v>
      </c>
      <c r="I8" s="39">
        <v>39.0</v>
      </c>
      <c r="J8" s="39">
        <v>55.0</v>
      </c>
      <c r="K8" s="39">
        <v>111.0</v>
      </c>
      <c r="L8" s="39">
        <v>109.0</v>
      </c>
      <c r="M8" s="39">
        <v>120.0</v>
      </c>
      <c r="N8" s="39">
        <v>81.0</v>
      </c>
      <c r="O8" s="39">
        <v>108.0</v>
      </c>
      <c r="P8" s="39">
        <v>116.0</v>
      </c>
      <c r="Q8" s="39">
        <v>117.0</v>
      </c>
      <c r="R8" s="39">
        <v>83.0</v>
      </c>
      <c r="S8" s="39">
        <v>88.0</v>
      </c>
      <c r="T8" s="39">
        <v>125.0</v>
      </c>
      <c r="U8" s="40">
        <v>159.0</v>
      </c>
      <c r="V8" s="41">
        <v>176.0</v>
      </c>
      <c r="W8" s="39">
        <v>164.0</v>
      </c>
      <c r="X8" s="39"/>
      <c r="Y8" s="39"/>
      <c r="Z8" s="39"/>
      <c r="AA8" s="39"/>
      <c r="AB8" s="39"/>
    </row>
    <row r="9">
      <c r="A9" s="37" t="s">
        <v>23</v>
      </c>
      <c r="B9" s="38">
        <v>21.0</v>
      </c>
      <c r="C9" s="39">
        <v>10.0</v>
      </c>
      <c r="D9" s="39">
        <v>34.0</v>
      </c>
      <c r="E9" s="39">
        <v>20.0</v>
      </c>
      <c r="F9" s="39">
        <v>16.0</v>
      </c>
      <c r="G9" s="39">
        <v>10.0</v>
      </c>
      <c r="H9" s="39">
        <v>4.0</v>
      </c>
      <c r="I9" s="39">
        <v>7.0</v>
      </c>
      <c r="J9" s="39">
        <v>8.0</v>
      </c>
      <c r="K9" s="39">
        <v>2.0</v>
      </c>
      <c r="L9" s="39">
        <v>16.0</v>
      </c>
      <c r="M9" s="39">
        <v>19.0</v>
      </c>
      <c r="N9" s="39">
        <v>7.0</v>
      </c>
      <c r="O9" s="39">
        <v>2.0</v>
      </c>
      <c r="P9" s="39">
        <v>0.0</v>
      </c>
      <c r="Q9" s="39">
        <v>12.0</v>
      </c>
      <c r="R9" s="39">
        <v>7.0</v>
      </c>
      <c r="S9" s="39">
        <v>12.0</v>
      </c>
      <c r="T9" s="39">
        <v>18.0</v>
      </c>
      <c r="U9" s="40">
        <v>39.0</v>
      </c>
      <c r="V9" s="41">
        <v>18.0</v>
      </c>
      <c r="W9" s="41"/>
      <c r="X9" s="41"/>
      <c r="Y9" s="41"/>
      <c r="Z9" s="41"/>
      <c r="AA9" s="41"/>
      <c r="AB9" s="41"/>
    </row>
    <row r="10">
      <c r="A10" s="42" t="s">
        <v>24</v>
      </c>
      <c r="B10" s="43">
        <f t="shared" ref="B10:I10" si="1">IFERROR(B9/B7, 0)</f>
        <v>0.2038834951</v>
      </c>
      <c r="C10" s="43">
        <f t="shared" si="1"/>
        <v>0.1234567901</v>
      </c>
      <c r="D10" s="43">
        <f t="shared" si="1"/>
        <v>0.3269230769</v>
      </c>
      <c r="E10" s="43">
        <f t="shared" si="1"/>
        <v>0.2127659574</v>
      </c>
      <c r="F10" s="43">
        <f t="shared" si="1"/>
        <v>0.1523809524</v>
      </c>
      <c r="G10" s="43">
        <f t="shared" si="1"/>
        <v>0.1162790698</v>
      </c>
      <c r="H10" s="43">
        <f t="shared" si="1"/>
        <v>0.04819277108</v>
      </c>
      <c r="I10" s="43">
        <f t="shared" si="1"/>
        <v>0.152173913</v>
      </c>
      <c r="J10" s="43">
        <v>0.127</v>
      </c>
      <c r="K10" s="43">
        <f t="shared" ref="K10:V10" si="2">IFERROR(K9/K7, 0)</f>
        <v>0.01769911504</v>
      </c>
      <c r="L10" s="43">
        <f t="shared" si="2"/>
        <v>0.128</v>
      </c>
      <c r="M10" s="43">
        <f t="shared" si="2"/>
        <v>0.1366906475</v>
      </c>
      <c r="N10" s="43">
        <f t="shared" si="2"/>
        <v>0.07954545455</v>
      </c>
      <c r="O10" s="43">
        <f t="shared" si="2"/>
        <v>0.01818181818</v>
      </c>
      <c r="P10" s="43">
        <f t="shared" si="2"/>
        <v>0</v>
      </c>
      <c r="Q10" s="43">
        <f t="shared" si="2"/>
        <v>0.09302325581</v>
      </c>
      <c r="R10" s="43">
        <f t="shared" si="2"/>
        <v>0.07777777778</v>
      </c>
      <c r="S10" s="43">
        <f t="shared" si="2"/>
        <v>0.12</v>
      </c>
      <c r="T10" s="43">
        <f t="shared" si="2"/>
        <v>0.1258741259</v>
      </c>
      <c r="U10" s="43">
        <f t="shared" si="2"/>
        <v>0.196969697</v>
      </c>
      <c r="V10" s="43">
        <f t="shared" si="2"/>
        <v>0.09278350515</v>
      </c>
      <c r="W10" s="45"/>
      <c r="X10" s="45"/>
      <c r="Y10" s="45"/>
      <c r="Z10" s="45"/>
      <c r="AA10" s="45"/>
      <c r="AB10" s="45"/>
    </row>
    <row r="11">
      <c r="A11" s="40"/>
      <c r="B11" s="46"/>
      <c r="C11" s="40"/>
      <c r="D11" s="40"/>
      <c r="E11" s="40"/>
      <c r="F11" s="40"/>
      <c r="G11" s="40"/>
      <c r="H11" s="40"/>
      <c r="I11" s="40"/>
      <c r="J11" s="40"/>
      <c r="K11" s="40"/>
      <c r="L11" s="40"/>
      <c r="M11" s="40"/>
      <c r="N11" s="40"/>
      <c r="O11" s="40"/>
      <c r="P11" s="40"/>
      <c r="Q11" s="40"/>
      <c r="R11" s="40"/>
      <c r="S11" s="40"/>
      <c r="T11" s="40"/>
      <c r="U11" s="40"/>
      <c r="V11" s="47"/>
      <c r="W11" s="40"/>
      <c r="X11" s="40"/>
      <c r="Y11" s="40"/>
      <c r="Z11" s="40"/>
      <c r="AA11" s="40"/>
      <c r="AB11" s="40"/>
    </row>
    <row r="12">
      <c r="A12" s="48" t="s">
        <v>25</v>
      </c>
      <c r="B12" s="49">
        <v>27.0</v>
      </c>
      <c r="C12" s="50">
        <v>11.0</v>
      </c>
      <c r="D12" s="50">
        <v>3.0</v>
      </c>
      <c r="E12" s="50">
        <v>11.0</v>
      </c>
      <c r="F12" s="50">
        <v>15.0</v>
      </c>
      <c r="G12" s="50">
        <v>12.0</v>
      </c>
      <c r="H12" s="50">
        <v>9.0</v>
      </c>
      <c r="I12" s="50">
        <v>7.0</v>
      </c>
      <c r="J12" s="50">
        <v>3.0</v>
      </c>
      <c r="K12" s="50">
        <v>2.0</v>
      </c>
      <c r="L12" s="50">
        <v>20.0</v>
      </c>
      <c r="M12" s="50">
        <v>20.0</v>
      </c>
      <c r="N12" s="50">
        <v>15.0</v>
      </c>
      <c r="O12" s="50">
        <v>17.0</v>
      </c>
      <c r="P12" s="50">
        <v>13.0</v>
      </c>
      <c r="Q12" s="50">
        <v>17.0</v>
      </c>
      <c r="R12" s="50">
        <v>6.0</v>
      </c>
      <c r="S12" s="50">
        <v>25.0</v>
      </c>
      <c r="T12" s="50">
        <v>28.0</v>
      </c>
      <c r="U12" s="51">
        <v>29.0</v>
      </c>
      <c r="V12" s="52">
        <v>22.0</v>
      </c>
      <c r="W12" s="50"/>
      <c r="X12" s="50"/>
      <c r="Y12" s="50"/>
      <c r="Z12" s="50"/>
      <c r="AA12" s="50"/>
      <c r="AB12" s="50"/>
    </row>
    <row r="13">
      <c r="A13" s="53" t="s">
        <v>26</v>
      </c>
      <c r="B13" s="54">
        <v>6.0</v>
      </c>
      <c r="C13" s="55">
        <v>8.0</v>
      </c>
      <c r="D13" s="55">
        <v>13.0</v>
      </c>
      <c r="E13" s="55">
        <v>11.0</v>
      </c>
      <c r="F13" s="55">
        <v>13.0</v>
      </c>
      <c r="G13" s="55">
        <v>7.0</v>
      </c>
      <c r="H13" s="55">
        <v>5.0</v>
      </c>
      <c r="I13" s="55">
        <v>5.0</v>
      </c>
      <c r="J13" s="55">
        <v>0.0</v>
      </c>
      <c r="K13" s="55">
        <v>0.0</v>
      </c>
      <c r="L13" s="55">
        <v>15.0</v>
      </c>
      <c r="M13" s="55">
        <v>16.0</v>
      </c>
      <c r="N13" s="55">
        <v>13.0</v>
      </c>
      <c r="O13" s="55">
        <v>17.0</v>
      </c>
      <c r="P13" s="55">
        <v>13.0</v>
      </c>
      <c r="Q13" s="55">
        <v>17.0</v>
      </c>
      <c r="R13" s="55">
        <v>5.0</v>
      </c>
      <c r="S13" s="55">
        <v>21.0</v>
      </c>
      <c r="T13" s="55">
        <v>10.0</v>
      </c>
      <c r="U13" s="56">
        <v>28.0</v>
      </c>
      <c r="V13" s="57">
        <v>11.0</v>
      </c>
      <c r="W13" s="55"/>
      <c r="X13" s="55"/>
      <c r="Y13" s="55"/>
      <c r="Z13" s="55"/>
      <c r="AA13" s="55"/>
      <c r="AB13" s="55"/>
    </row>
    <row r="14">
      <c r="A14" s="58" t="s">
        <v>27</v>
      </c>
      <c r="B14" s="59">
        <v>21.0</v>
      </c>
      <c r="C14" s="60">
        <v>8.0</v>
      </c>
      <c r="D14" s="60">
        <v>0.0</v>
      </c>
      <c r="E14" s="60">
        <v>0.0</v>
      </c>
      <c r="F14" s="60">
        <v>2.0</v>
      </c>
      <c r="G14" s="60">
        <v>5.0</v>
      </c>
      <c r="H14" s="60">
        <v>4.0</v>
      </c>
      <c r="I14" s="60">
        <v>7.0</v>
      </c>
      <c r="J14" s="60">
        <v>3.0</v>
      </c>
      <c r="K14" s="60">
        <v>2.0</v>
      </c>
      <c r="L14" s="60">
        <v>5.0</v>
      </c>
      <c r="M14" s="60">
        <v>9.0</v>
      </c>
      <c r="N14" s="60">
        <v>15.0</v>
      </c>
      <c r="O14" s="60">
        <v>0.0</v>
      </c>
      <c r="P14" s="60">
        <v>0.0</v>
      </c>
      <c r="Q14" s="60">
        <v>0.0</v>
      </c>
      <c r="R14" s="60">
        <v>1.0</v>
      </c>
      <c r="S14" s="60">
        <v>4.0</v>
      </c>
      <c r="T14" s="60">
        <v>18.0</v>
      </c>
      <c r="U14" s="61">
        <v>1.0</v>
      </c>
      <c r="V14" s="62">
        <v>16.0</v>
      </c>
      <c r="W14" s="60"/>
      <c r="X14" s="60"/>
      <c r="Y14" s="60"/>
      <c r="Z14" s="60"/>
      <c r="AA14" s="60"/>
      <c r="AB14" s="60"/>
    </row>
    <row r="15">
      <c r="A15" s="56"/>
      <c r="B15" s="63"/>
      <c r="C15" s="56"/>
      <c r="D15" s="56"/>
      <c r="E15" s="56"/>
      <c r="F15" s="56"/>
      <c r="G15" s="56"/>
      <c r="H15" s="56"/>
      <c r="I15" s="56"/>
      <c r="J15" s="56"/>
      <c r="K15" s="56"/>
      <c r="L15" s="56"/>
      <c r="M15" s="56"/>
      <c r="N15" s="56"/>
      <c r="O15" s="56"/>
      <c r="P15" s="56"/>
      <c r="Q15" s="56"/>
      <c r="R15" s="56"/>
      <c r="S15" s="56"/>
      <c r="T15" s="56"/>
      <c r="U15" s="56"/>
      <c r="V15" s="64"/>
      <c r="W15" s="56"/>
      <c r="X15" s="56"/>
      <c r="Y15" s="56"/>
      <c r="Z15" s="56"/>
      <c r="AA15" s="56"/>
      <c r="AB15" s="56"/>
    </row>
    <row r="16">
      <c r="A16" s="65" t="s">
        <v>28</v>
      </c>
      <c r="B16" s="66"/>
      <c r="C16" s="65"/>
      <c r="D16" s="65"/>
      <c r="E16" s="65"/>
      <c r="F16" s="65"/>
      <c r="G16" s="65"/>
      <c r="H16" s="65"/>
      <c r="I16" s="65"/>
      <c r="J16" s="65"/>
      <c r="K16" s="65"/>
      <c r="L16" s="65"/>
      <c r="M16" s="65"/>
      <c r="N16" s="65"/>
      <c r="O16" s="65"/>
      <c r="P16" s="65"/>
      <c r="Q16" s="65"/>
      <c r="R16" s="65"/>
      <c r="S16" s="65"/>
      <c r="T16" s="65"/>
      <c r="U16" s="67"/>
      <c r="V16" s="68"/>
      <c r="W16" s="65"/>
      <c r="X16" s="65"/>
      <c r="Y16" s="65"/>
      <c r="Z16" s="65"/>
      <c r="AA16" s="65"/>
      <c r="AB16" s="65"/>
    </row>
    <row r="17">
      <c r="A17" s="65" t="s">
        <v>29</v>
      </c>
      <c r="B17" s="66"/>
      <c r="C17" s="65"/>
      <c r="D17" s="65"/>
      <c r="E17" s="65"/>
      <c r="F17" s="65"/>
      <c r="G17" s="65"/>
      <c r="H17" s="65"/>
      <c r="I17" s="65"/>
      <c r="J17" s="65"/>
      <c r="K17" s="65"/>
      <c r="L17" s="65"/>
      <c r="M17" s="65"/>
      <c r="N17" s="65"/>
      <c r="O17" s="65"/>
      <c r="P17" s="65"/>
      <c r="Q17" s="65"/>
      <c r="R17" s="65"/>
      <c r="S17" s="65"/>
      <c r="T17" s="65"/>
      <c r="U17" s="67"/>
      <c r="V17" s="68"/>
      <c r="W17" s="65"/>
      <c r="X17" s="65"/>
      <c r="Y17" s="65"/>
      <c r="Z17" s="65"/>
      <c r="AA17" s="65"/>
      <c r="AB17" s="65"/>
    </row>
    <row r="18">
      <c r="A18" s="69" t="s">
        <v>30</v>
      </c>
      <c r="B18" s="70">
        <v>65.0</v>
      </c>
      <c r="C18" s="69">
        <v>68.0</v>
      </c>
      <c r="D18" s="69">
        <v>59.0</v>
      </c>
      <c r="E18" s="69">
        <v>58.0</v>
      </c>
      <c r="F18" s="69">
        <v>28.0</v>
      </c>
      <c r="G18" s="69">
        <v>26.0</v>
      </c>
      <c r="H18" s="69">
        <v>50.0</v>
      </c>
      <c r="I18" s="69">
        <v>19.0</v>
      </c>
      <c r="J18" s="69">
        <v>23.0</v>
      </c>
      <c r="K18" s="69">
        <v>71.0</v>
      </c>
      <c r="L18" s="69">
        <v>110.0</v>
      </c>
      <c r="M18" s="69">
        <v>54.0</v>
      </c>
      <c r="N18" s="69">
        <v>47.0</v>
      </c>
      <c r="O18" s="69">
        <v>25.0</v>
      </c>
      <c r="P18" s="69">
        <v>71.0</v>
      </c>
      <c r="Q18" s="69">
        <v>79.0</v>
      </c>
      <c r="R18" s="69">
        <v>41.0</v>
      </c>
      <c r="S18" s="69">
        <v>63.0</v>
      </c>
      <c r="T18" s="69">
        <v>46.0</v>
      </c>
      <c r="U18" s="69">
        <v>84.0</v>
      </c>
      <c r="V18" s="71">
        <v>88.0</v>
      </c>
      <c r="W18" s="69"/>
      <c r="X18" s="69"/>
      <c r="Y18" s="69"/>
      <c r="Z18" s="69"/>
      <c r="AA18" s="69"/>
      <c r="AB18" s="72"/>
      <c r="AC18" s="73"/>
      <c r="AD18" s="73"/>
      <c r="AE18" s="73"/>
      <c r="AF18" s="73"/>
      <c r="AG18" s="73"/>
      <c r="AH18" s="73"/>
      <c r="AI18" s="73"/>
      <c r="AJ18" s="73"/>
      <c r="AK18" s="73"/>
      <c r="AL18" s="73"/>
      <c r="AM18" s="73"/>
      <c r="AN18" s="73"/>
    </row>
    <row r="19">
      <c r="A19" s="74" t="s">
        <v>31</v>
      </c>
      <c r="B19" s="75">
        <v>65.0</v>
      </c>
      <c r="C19" s="74">
        <v>71.0</v>
      </c>
      <c r="D19" s="74">
        <v>92.0</v>
      </c>
      <c r="E19" s="74">
        <v>76.0</v>
      </c>
      <c r="F19" s="74">
        <v>34.0</v>
      </c>
      <c r="G19" s="74">
        <v>36.0</v>
      </c>
      <c r="H19" s="74">
        <v>53.0</v>
      </c>
      <c r="I19" s="74">
        <v>19.0</v>
      </c>
      <c r="J19" s="74">
        <v>28.0</v>
      </c>
      <c r="K19" s="74">
        <v>71.0</v>
      </c>
      <c r="L19" s="74">
        <v>115.0</v>
      </c>
      <c r="M19" s="74">
        <v>87.0</v>
      </c>
      <c r="N19" s="74">
        <v>63.0</v>
      </c>
      <c r="O19" s="74">
        <v>40.0</v>
      </c>
      <c r="P19" s="74">
        <v>76.0</v>
      </c>
      <c r="Q19" s="74">
        <v>116.0</v>
      </c>
      <c r="R19" s="74">
        <v>70.0</v>
      </c>
      <c r="S19" s="74">
        <v>89.0</v>
      </c>
      <c r="T19" s="74">
        <v>75.0</v>
      </c>
      <c r="U19" s="74">
        <v>97.0</v>
      </c>
      <c r="V19" s="76">
        <v>132.0</v>
      </c>
      <c r="W19" s="74"/>
      <c r="X19" s="74"/>
      <c r="Y19" s="74"/>
      <c r="Z19" s="74"/>
      <c r="AA19" s="74"/>
      <c r="AB19" s="77"/>
      <c r="AC19" s="78"/>
      <c r="AD19" s="78"/>
      <c r="AE19" s="78"/>
      <c r="AF19" s="78"/>
      <c r="AG19" s="78"/>
      <c r="AH19" s="78"/>
      <c r="AI19" s="78"/>
      <c r="AJ19" s="78"/>
      <c r="AK19" s="78"/>
      <c r="AL19" s="78"/>
      <c r="AM19" s="78"/>
      <c r="AN19" s="78"/>
    </row>
    <row r="20">
      <c r="A20" s="69" t="s">
        <v>32</v>
      </c>
      <c r="B20" s="70">
        <v>56.0</v>
      </c>
      <c r="C20" s="69">
        <v>55.0</v>
      </c>
      <c r="D20" s="69">
        <v>5.0</v>
      </c>
      <c r="E20" s="69">
        <v>19.0</v>
      </c>
      <c r="F20" s="69">
        <v>28.0</v>
      </c>
      <c r="G20" s="69">
        <v>11.0</v>
      </c>
      <c r="H20" s="69">
        <v>47.0</v>
      </c>
      <c r="I20" s="69">
        <v>19.0</v>
      </c>
      <c r="J20" s="69">
        <v>21.0</v>
      </c>
      <c r="K20" s="69">
        <v>71.0</v>
      </c>
      <c r="L20" s="69">
        <v>107.0</v>
      </c>
      <c r="M20" s="69">
        <v>45.0</v>
      </c>
      <c r="N20" s="69">
        <v>31.0</v>
      </c>
      <c r="O20" s="69">
        <v>25.0</v>
      </c>
      <c r="P20" s="69">
        <v>35.0</v>
      </c>
      <c r="Q20" s="69">
        <v>58.0</v>
      </c>
      <c r="R20" s="69">
        <v>6.0</v>
      </c>
      <c r="S20" s="69">
        <v>33.0</v>
      </c>
      <c r="T20" s="69">
        <v>46.0</v>
      </c>
      <c r="U20" s="69">
        <v>64.0</v>
      </c>
      <c r="V20" s="71">
        <v>52.0</v>
      </c>
      <c r="W20" s="69"/>
      <c r="X20" s="69"/>
      <c r="Y20" s="69"/>
      <c r="Z20" s="69"/>
      <c r="AA20" s="69"/>
      <c r="AB20" s="72"/>
      <c r="AC20" s="73"/>
      <c r="AD20" s="73"/>
      <c r="AE20" s="73"/>
      <c r="AF20" s="73"/>
      <c r="AG20" s="73"/>
      <c r="AH20" s="73"/>
      <c r="AI20" s="73"/>
      <c r="AJ20" s="73"/>
      <c r="AK20" s="73"/>
      <c r="AL20" s="73"/>
      <c r="AM20" s="73"/>
      <c r="AN20" s="73"/>
    </row>
    <row r="21">
      <c r="A21" s="79" t="s">
        <v>33</v>
      </c>
      <c r="B21" s="80">
        <v>38.0</v>
      </c>
      <c r="C21" s="80">
        <v>10.0</v>
      </c>
      <c r="D21" s="80">
        <v>12.0</v>
      </c>
      <c r="E21" s="80">
        <v>18.0</v>
      </c>
      <c r="F21" s="79">
        <v>71.0</v>
      </c>
      <c r="G21" s="79">
        <v>50.0</v>
      </c>
      <c r="H21" s="79">
        <v>30.0</v>
      </c>
      <c r="I21" s="79">
        <v>27.0</v>
      </c>
      <c r="J21" s="79">
        <v>35.0</v>
      </c>
      <c r="K21" s="79">
        <v>42.0</v>
      </c>
      <c r="L21" s="79">
        <v>10.0</v>
      </c>
      <c r="M21" s="79">
        <v>52.0</v>
      </c>
      <c r="N21" s="79">
        <v>25.0</v>
      </c>
      <c r="O21" s="79">
        <v>70.0</v>
      </c>
      <c r="P21" s="79">
        <v>40.0</v>
      </c>
      <c r="Q21" s="79">
        <v>13.0</v>
      </c>
      <c r="R21" s="79">
        <v>20.0</v>
      </c>
      <c r="S21" s="79">
        <v>11.0</v>
      </c>
      <c r="T21" s="79">
        <v>68.0</v>
      </c>
      <c r="U21" s="81">
        <v>101.0</v>
      </c>
      <c r="V21" s="79">
        <v>62.0</v>
      </c>
      <c r="W21" s="79"/>
      <c r="X21" s="79"/>
      <c r="Y21" s="79"/>
      <c r="Z21" s="79"/>
      <c r="AA21" s="79"/>
      <c r="AB21" s="79"/>
    </row>
    <row r="22">
      <c r="A22" s="82" t="s">
        <v>34</v>
      </c>
      <c r="B22" s="83">
        <v>79.0</v>
      </c>
      <c r="C22" s="83">
        <v>68.0</v>
      </c>
      <c r="D22" s="85">
        <v>70.0</v>
      </c>
      <c r="E22" s="85">
        <v>66.0</v>
      </c>
      <c r="F22" s="85">
        <v>86.0</v>
      </c>
      <c r="G22" s="85">
        <v>67.0</v>
      </c>
      <c r="H22" s="85">
        <v>76.0</v>
      </c>
      <c r="I22" s="85">
        <v>39.0</v>
      </c>
      <c r="J22" s="85">
        <v>50.0</v>
      </c>
      <c r="K22" s="85">
        <v>111.0</v>
      </c>
      <c r="L22" s="85">
        <v>104.0</v>
      </c>
      <c r="M22" s="85">
        <v>92.0</v>
      </c>
      <c r="N22" s="85">
        <v>64.0</v>
      </c>
      <c r="O22" s="85">
        <v>77.0</v>
      </c>
      <c r="P22" s="85">
        <v>63.0</v>
      </c>
      <c r="Q22" s="85">
        <v>88.0</v>
      </c>
      <c r="R22" s="85">
        <v>46.0</v>
      </c>
      <c r="S22" s="85">
        <v>62.0</v>
      </c>
      <c r="T22" s="85">
        <v>96.0</v>
      </c>
      <c r="U22" s="85">
        <v>125.0</v>
      </c>
      <c r="V22" s="86">
        <v>132.0</v>
      </c>
      <c r="W22" s="85"/>
      <c r="X22" s="85"/>
      <c r="Y22" s="85"/>
      <c r="Z22" s="85"/>
      <c r="AA22" s="85"/>
      <c r="AB22" s="87"/>
      <c r="AC22" s="87"/>
      <c r="AD22" s="88"/>
      <c r="AE22" s="88"/>
      <c r="AF22" s="88"/>
      <c r="AG22" s="88"/>
      <c r="AH22" s="88"/>
      <c r="AI22" s="88"/>
      <c r="AJ22" s="88"/>
      <c r="AK22" s="88"/>
      <c r="AL22" s="88"/>
      <c r="AM22" s="88"/>
      <c r="AN22" s="89"/>
    </row>
    <row r="23">
      <c r="A23" s="90" t="s">
        <v>35</v>
      </c>
      <c r="B23" s="394" t="s">
        <v>561</v>
      </c>
      <c r="C23" s="394" t="s">
        <v>562</v>
      </c>
      <c r="D23" s="395" t="s">
        <v>563</v>
      </c>
      <c r="E23" s="394" t="s">
        <v>564</v>
      </c>
      <c r="F23" s="395" t="s">
        <v>565</v>
      </c>
      <c r="G23" s="396" t="s">
        <v>566</v>
      </c>
      <c r="H23" s="394" t="s">
        <v>567</v>
      </c>
      <c r="I23" s="395" t="s">
        <v>568</v>
      </c>
      <c r="J23" s="395" t="s">
        <v>569</v>
      </c>
      <c r="K23" s="395" t="s">
        <v>570</v>
      </c>
      <c r="L23" s="394" t="s">
        <v>571</v>
      </c>
      <c r="M23" s="395" t="s">
        <v>572</v>
      </c>
      <c r="N23" s="395" t="s">
        <v>573</v>
      </c>
      <c r="O23" s="395" t="s">
        <v>574</v>
      </c>
      <c r="P23" s="394" t="s">
        <v>575</v>
      </c>
      <c r="Q23" s="394" t="s">
        <v>576</v>
      </c>
      <c r="R23" s="395" t="s">
        <v>577</v>
      </c>
      <c r="S23" s="394" t="s">
        <v>578</v>
      </c>
      <c r="T23" s="395" t="s">
        <v>579</v>
      </c>
      <c r="U23" s="395" t="s">
        <v>580</v>
      </c>
      <c r="V23" s="395" t="s">
        <v>581</v>
      </c>
      <c r="W23" s="91"/>
      <c r="X23" s="91"/>
      <c r="Y23" s="91"/>
      <c r="Z23" s="91"/>
      <c r="AA23" s="91"/>
      <c r="AB23" s="91"/>
      <c r="AC23" s="94"/>
      <c r="AD23" s="95"/>
      <c r="AE23" s="95"/>
      <c r="AF23" s="95"/>
      <c r="AG23" s="95"/>
      <c r="AH23" s="95"/>
      <c r="AI23" s="95"/>
      <c r="AJ23" s="95"/>
      <c r="AK23" s="95"/>
      <c r="AL23" s="95"/>
      <c r="AM23" s="95"/>
      <c r="AN23" s="95"/>
    </row>
    <row r="24">
      <c r="A24" s="96" t="s">
        <v>36</v>
      </c>
      <c r="B24" s="97">
        <v>1.0</v>
      </c>
      <c r="C24" s="97">
        <v>1.0</v>
      </c>
      <c r="D24" s="98">
        <v>0.0</v>
      </c>
      <c r="E24" s="97">
        <v>1.0</v>
      </c>
      <c r="F24" s="98">
        <v>0.0</v>
      </c>
      <c r="G24" s="98">
        <v>0.0</v>
      </c>
      <c r="H24" s="97">
        <v>1.0</v>
      </c>
      <c r="I24" s="97">
        <v>0.0</v>
      </c>
      <c r="J24" s="97">
        <v>0.0</v>
      </c>
      <c r="K24" s="98">
        <v>0.0</v>
      </c>
      <c r="L24" s="97">
        <v>1.0</v>
      </c>
      <c r="M24" s="98">
        <v>0.0</v>
      </c>
      <c r="N24" s="98">
        <v>0.0</v>
      </c>
      <c r="O24" s="98">
        <v>0.0</v>
      </c>
      <c r="P24" s="97">
        <v>1.0</v>
      </c>
      <c r="Q24" s="97">
        <v>1.0</v>
      </c>
      <c r="R24" s="98">
        <v>0.0</v>
      </c>
      <c r="S24" s="97">
        <v>1.0</v>
      </c>
      <c r="T24" s="98">
        <v>0.0</v>
      </c>
      <c r="U24" s="98">
        <v>0.0</v>
      </c>
      <c r="V24" s="98">
        <v>0.0</v>
      </c>
      <c r="W24" s="98">
        <v>0.0</v>
      </c>
      <c r="X24" s="98">
        <v>0.0</v>
      </c>
      <c r="Y24" s="98">
        <v>0.0</v>
      </c>
      <c r="Z24" s="98">
        <v>0.0</v>
      </c>
      <c r="AA24" s="98">
        <v>0.0</v>
      </c>
      <c r="AB24" s="98">
        <v>0.0</v>
      </c>
      <c r="AC24" s="99"/>
      <c r="AD24" s="100"/>
      <c r="AE24" s="100"/>
      <c r="AF24" s="100"/>
      <c r="AG24" s="100"/>
      <c r="AH24" s="100"/>
      <c r="AI24" s="100"/>
      <c r="AJ24" s="100"/>
      <c r="AK24" s="100"/>
      <c r="AL24" s="100"/>
      <c r="AM24" s="100"/>
      <c r="AN24" s="100"/>
    </row>
    <row r="25">
      <c r="A25" s="101" t="s">
        <v>37</v>
      </c>
      <c r="B25" s="102">
        <f t="shared" ref="B25:V25" si="3">IFERROR(B19/B8, 0)</f>
        <v>0.7926829268</v>
      </c>
      <c r="C25" s="102">
        <f t="shared" si="3"/>
        <v>1</v>
      </c>
      <c r="D25" s="102">
        <f t="shared" si="3"/>
        <v>1.314285714</v>
      </c>
      <c r="E25" s="102">
        <f t="shared" si="3"/>
        <v>1.027027027</v>
      </c>
      <c r="F25" s="102">
        <f t="shared" si="3"/>
        <v>0.3820224719</v>
      </c>
      <c r="G25" s="102">
        <f t="shared" si="3"/>
        <v>0.4736842105</v>
      </c>
      <c r="H25" s="102">
        <f t="shared" si="3"/>
        <v>0.6708860759</v>
      </c>
      <c r="I25" s="102">
        <f t="shared" si="3"/>
        <v>0.4871794872</v>
      </c>
      <c r="J25" s="102">
        <f t="shared" si="3"/>
        <v>0.5090909091</v>
      </c>
      <c r="K25" s="102">
        <f t="shared" si="3"/>
        <v>0.6396396396</v>
      </c>
      <c r="L25" s="102">
        <f t="shared" si="3"/>
        <v>1.055045872</v>
      </c>
      <c r="M25" s="102">
        <f t="shared" si="3"/>
        <v>0.725</v>
      </c>
      <c r="N25" s="102">
        <f t="shared" si="3"/>
        <v>0.7777777778</v>
      </c>
      <c r="O25" s="102">
        <f t="shared" si="3"/>
        <v>0.3703703704</v>
      </c>
      <c r="P25" s="102">
        <f t="shared" si="3"/>
        <v>0.6551724138</v>
      </c>
      <c r="Q25" s="102">
        <f t="shared" si="3"/>
        <v>0.9914529915</v>
      </c>
      <c r="R25" s="102">
        <f t="shared" si="3"/>
        <v>0.843373494</v>
      </c>
      <c r="S25" s="102">
        <f t="shared" si="3"/>
        <v>1.011363636</v>
      </c>
      <c r="T25" s="102">
        <f t="shared" si="3"/>
        <v>0.6</v>
      </c>
      <c r="U25" s="102">
        <f t="shared" si="3"/>
        <v>0.6100628931</v>
      </c>
      <c r="V25" s="102">
        <f t="shared" si="3"/>
        <v>0.75</v>
      </c>
      <c r="W25" s="103"/>
      <c r="X25" s="103"/>
      <c r="Y25" s="103"/>
      <c r="Z25" s="103"/>
      <c r="AA25" s="103"/>
      <c r="AB25" s="103"/>
    </row>
    <row r="26">
      <c r="A26" s="105" t="s">
        <v>38</v>
      </c>
      <c r="B26" s="106">
        <f t="shared" ref="B26:V26" si="4">IFERROR(B12/B18, 0)</f>
        <v>0.4153846154</v>
      </c>
      <c r="C26" s="106">
        <f t="shared" si="4"/>
        <v>0.1617647059</v>
      </c>
      <c r="D26" s="106">
        <f t="shared" si="4"/>
        <v>0.05084745763</v>
      </c>
      <c r="E26" s="106">
        <f t="shared" si="4"/>
        <v>0.1896551724</v>
      </c>
      <c r="F26" s="106">
        <f t="shared" si="4"/>
        <v>0.5357142857</v>
      </c>
      <c r="G26" s="106">
        <f t="shared" si="4"/>
        <v>0.4615384615</v>
      </c>
      <c r="H26" s="106">
        <f t="shared" si="4"/>
        <v>0.18</v>
      </c>
      <c r="I26" s="106">
        <f t="shared" si="4"/>
        <v>0.3684210526</v>
      </c>
      <c r="J26" s="106">
        <f t="shared" si="4"/>
        <v>0.1304347826</v>
      </c>
      <c r="K26" s="106">
        <f t="shared" si="4"/>
        <v>0.02816901408</v>
      </c>
      <c r="L26" s="106">
        <f t="shared" si="4"/>
        <v>0.1818181818</v>
      </c>
      <c r="M26" s="106">
        <f t="shared" si="4"/>
        <v>0.3703703704</v>
      </c>
      <c r="N26" s="106">
        <f t="shared" si="4"/>
        <v>0.3191489362</v>
      </c>
      <c r="O26" s="106">
        <f t="shared" si="4"/>
        <v>0.68</v>
      </c>
      <c r="P26" s="106">
        <f t="shared" si="4"/>
        <v>0.1830985915</v>
      </c>
      <c r="Q26" s="106">
        <f t="shared" si="4"/>
        <v>0.2151898734</v>
      </c>
      <c r="R26" s="106">
        <f t="shared" si="4"/>
        <v>0.1463414634</v>
      </c>
      <c r="S26" s="106">
        <f t="shared" si="4"/>
        <v>0.3968253968</v>
      </c>
      <c r="T26" s="106">
        <f t="shared" si="4"/>
        <v>0.6086956522</v>
      </c>
      <c r="U26" s="106">
        <f t="shared" si="4"/>
        <v>0.3452380952</v>
      </c>
      <c r="V26" s="106">
        <f t="shared" si="4"/>
        <v>0.25</v>
      </c>
      <c r="W26" s="107"/>
      <c r="X26" s="107"/>
      <c r="Y26" s="107"/>
      <c r="Z26" s="107"/>
      <c r="AA26" s="107"/>
      <c r="AB26" s="107"/>
    </row>
    <row r="27">
      <c r="A27" s="109" t="s">
        <v>39</v>
      </c>
      <c r="B27" s="110">
        <f t="shared" ref="B27:V27" si="5">IFERROR(B20/B18, 0)</f>
        <v>0.8615384615</v>
      </c>
      <c r="C27" s="110">
        <f t="shared" si="5"/>
        <v>0.8088235294</v>
      </c>
      <c r="D27" s="110">
        <f t="shared" si="5"/>
        <v>0.08474576271</v>
      </c>
      <c r="E27" s="110">
        <f t="shared" si="5"/>
        <v>0.3275862069</v>
      </c>
      <c r="F27" s="110">
        <f t="shared" si="5"/>
        <v>1</v>
      </c>
      <c r="G27" s="110">
        <f t="shared" si="5"/>
        <v>0.4230769231</v>
      </c>
      <c r="H27" s="110">
        <f t="shared" si="5"/>
        <v>0.94</v>
      </c>
      <c r="I27" s="110">
        <f t="shared" si="5"/>
        <v>1</v>
      </c>
      <c r="J27" s="110">
        <f t="shared" si="5"/>
        <v>0.9130434783</v>
      </c>
      <c r="K27" s="110">
        <f t="shared" si="5"/>
        <v>1</v>
      </c>
      <c r="L27" s="110">
        <f t="shared" si="5"/>
        <v>0.9727272727</v>
      </c>
      <c r="M27" s="110">
        <f t="shared" si="5"/>
        <v>0.8333333333</v>
      </c>
      <c r="N27" s="110">
        <f t="shared" si="5"/>
        <v>0.6595744681</v>
      </c>
      <c r="O27" s="110">
        <f t="shared" si="5"/>
        <v>1</v>
      </c>
      <c r="P27" s="110">
        <f t="shared" si="5"/>
        <v>0.4929577465</v>
      </c>
      <c r="Q27" s="110">
        <f t="shared" si="5"/>
        <v>0.7341772152</v>
      </c>
      <c r="R27" s="110">
        <f t="shared" si="5"/>
        <v>0.1463414634</v>
      </c>
      <c r="S27" s="110">
        <f t="shared" si="5"/>
        <v>0.5238095238</v>
      </c>
      <c r="T27" s="110">
        <f t="shared" si="5"/>
        <v>1</v>
      </c>
      <c r="U27" s="110">
        <f t="shared" si="5"/>
        <v>0.7619047619</v>
      </c>
      <c r="V27" s="110">
        <f t="shared" si="5"/>
        <v>0.5909090909</v>
      </c>
      <c r="W27" s="110"/>
      <c r="X27" s="110"/>
      <c r="Y27" s="110"/>
      <c r="Z27" s="110"/>
      <c r="AA27" s="110"/>
      <c r="AB27" s="110"/>
      <c r="AC27" s="112"/>
      <c r="AD27" s="113"/>
      <c r="AE27" s="113"/>
      <c r="AF27" s="113"/>
      <c r="AG27" s="113"/>
      <c r="AH27" s="113"/>
      <c r="AI27" s="113"/>
      <c r="AJ27" s="113"/>
      <c r="AK27" s="113"/>
      <c r="AL27" s="113"/>
      <c r="AM27" s="113"/>
      <c r="AN27" s="113"/>
    </row>
    <row r="28">
      <c r="A28" s="114" t="s">
        <v>40</v>
      </c>
      <c r="B28" s="406">
        <f t="shared" ref="B28:V28" si="6">B22/B8</f>
        <v>0.9634146341</v>
      </c>
      <c r="C28" s="406">
        <f t="shared" si="6"/>
        <v>0.9577464789</v>
      </c>
      <c r="D28" s="406">
        <f t="shared" si="6"/>
        <v>1</v>
      </c>
      <c r="E28" s="406">
        <f t="shared" si="6"/>
        <v>0.8918918919</v>
      </c>
      <c r="F28" s="406">
        <f t="shared" si="6"/>
        <v>0.9662921348</v>
      </c>
      <c r="G28" s="406">
        <f t="shared" si="6"/>
        <v>0.8815789474</v>
      </c>
      <c r="H28" s="406">
        <f t="shared" si="6"/>
        <v>0.9620253165</v>
      </c>
      <c r="I28" s="406">
        <f t="shared" si="6"/>
        <v>1</v>
      </c>
      <c r="J28" s="406">
        <f t="shared" si="6"/>
        <v>0.9090909091</v>
      </c>
      <c r="K28" s="406">
        <f t="shared" si="6"/>
        <v>1</v>
      </c>
      <c r="L28" s="406">
        <f t="shared" si="6"/>
        <v>0.9541284404</v>
      </c>
      <c r="M28" s="406">
        <f t="shared" si="6"/>
        <v>0.7666666667</v>
      </c>
      <c r="N28" s="406">
        <f t="shared" si="6"/>
        <v>0.7901234568</v>
      </c>
      <c r="O28" s="406">
        <f t="shared" si="6"/>
        <v>0.712962963</v>
      </c>
      <c r="P28" s="406">
        <f t="shared" si="6"/>
        <v>0.5431034483</v>
      </c>
      <c r="Q28" s="406">
        <f t="shared" si="6"/>
        <v>0.7521367521</v>
      </c>
      <c r="R28" s="406">
        <f t="shared" si="6"/>
        <v>0.5542168675</v>
      </c>
      <c r="S28" s="406">
        <f t="shared" si="6"/>
        <v>0.7045454545</v>
      </c>
      <c r="T28" s="406">
        <f t="shared" si="6"/>
        <v>0.768</v>
      </c>
      <c r="U28" s="406">
        <f t="shared" si="6"/>
        <v>0.786163522</v>
      </c>
      <c r="V28" s="406">
        <f t="shared" si="6"/>
        <v>0.75</v>
      </c>
      <c r="W28" s="115"/>
      <c r="X28" s="115"/>
      <c r="Y28" s="115"/>
      <c r="Z28" s="115"/>
      <c r="AA28" s="115"/>
      <c r="AB28" s="115"/>
      <c r="AC28" s="112"/>
      <c r="AD28" s="113"/>
      <c r="AE28" s="113"/>
      <c r="AF28" s="113"/>
      <c r="AG28" s="113"/>
      <c r="AH28" s="113"/>
      <c r="AI28" s="113"/>
      <c r="AJ28" s="113"/>
      <c r="AK28" s="113"/>
      <c r="AL28" s="113"/>
      <c r="AM28" s="113"/>
      <c r="AN28" s="113"/>
    </row>
    <row r="29">
      <c r="A29" s="117" t="s">
        <v>41</v>
      </c>
      <c r="B29" s="118"/>
      <c r="C29" s="119"/>
      <c r="D29" s="119"/>
      <c r="E29" s="119"/>
      <c r="F29" s="119"/>
      <c r="G29" s="119"/>
      <c r="H29" s="119"/>
      <c r="I29" s="119"/>
      <c r="J29" s="119"/>
      <c r="K29" s="119"/>
      <c r="L29" s="119"/>
      <c r="M29" s="119"/>
      <c r="N29" s="119"/>
      <c r="O29" s="119"/>
      <c r="P29" s="119"/>
      <c r="Q29" s="119"/>
      <c r="R29" s="119"/>
      <c r="S29" s="119"/>
      <c r="T29" s="119"/>
      <c r="U29" s="119"/>
      <c r="V29" s="120"/>
      <c r="W29" s="119"/>
      <c r="X29" s="119"/>
      <c r="Y29" s="119"/>
      <c r="Z29" s="119"/>
      <c r="AA29" s="119"/>
      <c r="AB29" s="119"/>
      <c r="AC29" s="121"/>
      <c r="AD29" s="121"/>
      <c r="AE29" s="121"/>
      <c r="AF29" s="121"/>
      <c r="AG29" s="121"/>
      <c r="AH29" s="99"/>
      <c r="AI29" s="99"/>
      <c r="AJ29" s="99"/>
      <c r="AK29" s="99"/>
      <c r="AL29" s="99"/>
      <c r="AM29" s="99"/>
      <c r="AN29" s="99"/>
    </row>
    <row r="30">
      <c r="A30" s="184" t="s">
        <v>141</v>
      </c>
      <c r="B30" s="185">
        <f t="shared" ref="B30:AB30" si="7">B71/B8</f>
        <v>0</v>
      </c>
      <c r="C30" s="185">
        <f t="shared" si="7"/>
        <v>0</v>
      </c>
      <c r="D30" s="185">
        <f t="shared" si="7"/>
        <v>0</v>
      </c>
      <c r="E30" s="185">
        <f t="shared" si="7"/>
        <v>0</v>
      </c>
      <c r="F30" s="185">
        <f t="shared" si="7"/>
        <v>0</v>
      </c>
      <c r="G30" s="185">
        <f t="shared" si="7"/>
        <v>0</v>
      </c>
      <c r="H30" s="185">
        <f t="shared" si="7"/>
        <v>0</v>
      </c>
      <c r="I30" s="185">
        <f t="shared" si="7"/>
        <v>0</v>
      </c>
      <c r="J30" s="185">
        <f t="shared" si="7"/>
        <v>0</v>
      </c>
      <c r="K30" s="185">
        <f t="shared" si="7"/>
        <v>0</v>
      </c>
      <c r="L30" s="185">
        <f t="shared" si="7"/>
        <v>0</v>
      </c>
      <c r="M30" s="185">
        <f t="shared" si="7"/>
        <v>0</v>
      </c>
      <c r="N30" s="185">
        <f t="shared" si="7"/>
        <v>0</v>
      </c>
      <c r="O30" s="185">
        <f t="shared" si="7"/>
        <v>0</v>
      </c>
      <c r="P30" s="185">
        <f t="shared" si="7"/>
        <v>0</v>
      </c>
      <c r="Q30" s="185">
        <f t="shared" si="7"/>
        <v>0</v>
      </c>
      <c r="R30" s="185">
        <f t="shared" si="7"/>
        <v>0</v>
      </c>
      <c r="S30" s="185">
        <f t="shared" si="7"/>
        <v>0</v>
      </c>
      <c r="T30" s="185">
        <f t="shared" si="7"/>
        <v>0</v>
      </c>
      <c r="U30" s="185">
        <f t="shared" si="7"/>
        <v>0</v>
      </c>
      <c r="V30" s="185">
        <f t="shared" si="7"/>
        <v>0</v>
      </c>
      <c r="W30" s="185">
        <f t="shared" si="7"/>
        <v>0.3048780488</v>
      </c>
      <c r="X30" s="185" t="str">
        <f t="shared" si="7"/>
        <v>#DIV/0!</v>
      </c>
      <c r="Y30" s="185" t="str">
        <f t="shared" si="7"/>
        <v>#DIV/0!</v>
      </c>
      <c r="Z30" s="185" t="str">
        <f t="shared" si="7"/>
        <v>#DIV/0!</v>
      </c>
      <c r="AA30" s="185" t="str">
        <f t="shared" si="7"/>
        <v>#DIV/0!</v>
      </c>
      <c r="AB30" s="185" t="str">
        <f t="shared" si="7"/>
        <v>#DIV/0!</v>
      </c>
      <c r="AC30" s="186"/>
      <c r="AD30" s="186"/>
      <c r="AE30" s="186"/>
      <c r="AF30" s="186"/>
      <c r="AG30" s="186"/>
      <c r="AH30" s="186"/>
      <c r="AI30" s="186"/>
      <c r="AJ30" s="186"/>
      <c r="AK30" s="186"/>
      <c r="AL30" s="186"/>
      <c r="AM30" s="186"/>
      <c r="AN30" s="186"/>
    </row>
    <row r="31">
      <c r="A31" s="187" t="s">
        <v>42</v>
      </c>
      <c r="B31" s="191">
        <v>0.35</v>
      </c>
      <c r="C31" s="191">
        <v>0.25</v>
      </c>
      <c r="D31" s="191">
        <v>0.74</v>
      </c>
      <c r="E31" s="191">
        <v>0.45</v>
      </c>
      <c r="F31" s="191">
        <v>0.52</v>
      </c>
      <c r="G31" s="191">
        <v>0.35</v>
      </c>
      <c r="H31" s="191">
        <v>0.45</v>
      </c>
      <c r="I31" s="191">
        <v>0.37</v>
      </c>
      <c r="J31" s="191">
        <v>0.35</v>
      </c>
      <c r="K31" s="191">
        <v>0.78</v>
      </c>
      <c r="L31" s="191">
        <v>0.43</v>
      </c>
      <c r="M31" s="191">
        <v>0.3</v>
      </c>
      <c r="N31" s="191">
        <v>0.3</v>
      </c>
      <c r="O31" s="191">
        <v>0.45</v>
      </c>
      <c r="P31" s="191">
        <v>0.3</v>
      </c>
      <c r="Q31" s="191">
        <v>0.29</v>
      </c>
      <c r="R31" s="191">
        <v>0.31</v>
      </c>
      <c r="S31" s="191">
        <v>0.3</v>
      </c>
      <c r="T31" s="191">
        <v>0.49</v>
      </c>
      <c r="U31" s="191">
        <v>0.43</v>
      </c>
      <c r="V31" s="191">
        <v>0.46</v>
      </c>
      <c r="W31" s="185">
        <f>50/W8</f>
        <v>0.3048780488</v>
      </c>
      <c r="X31" s="185">
        <v>0.0</v>
      </c>
      <c r="Y31" s="185">
        <v>0.0</v>
      </c>
      <c r="Z31" s="185">
        <v>0.0</v>
      </c>
      <c r="AA31" s="185">
        <v>0.0</v>
      </c>
      <c r="AB31" s="185">
        <v>0.0</v>
      </c>
      <c r="AC31" s="188"/>
      <c r="AD31" s="189"/>
      <c r="AE31" s="189"/>
      <c r="AF31" s="189"/>
      <c r="AG31" s="189"/>
      <c r="AH31" s="147"/>
      <c r="AI31" s="147"/>
      <c r="AJ31" s="147"/>
      <c r="AK31" s="147"/>
      <c r="AL31" s="147"/>
      <c r="AM31" s="147"/>
      <c r="AN31" s="147"/>
    </row>
    <row r="32">
      <c r="A32" s="190" t="s">
        <v>43</v>
      </c>
      <c r="B32" s="191">
        <v>1.0</v>
      </c>
      <c r="C32" s="191">
        <v>1.0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91">
        <v>1.0</v>
      </c>
      <c r="S32" s="191">
        <v>1.0</v>
      </c>
      <c r="T32" s="191">
        <v>1.0</v>
      </c>
      <c r="U32" s="191">
        <v>1.0</v>
      </c>
      <c r="V32" s="191">
        <v>1.0</v>
      </c>
      <c r="W32" s="191">
        <v>1.0</v>
      </c>
      <c r="X32" s="185">
        <v>0.0</v>
      </c>
      <c r="Y32" s="185">
        <v>0.0</v>
      </c>
      <c r="Z32" s="185">
        <v>0.0</v>
      </c>
      <c r="AA32" s="185">
        <v>0.0</v>
      </c>
      <c r="AB32" s="185">
        <v>0.0</v>
      </c>
      <c r="AC32" s="189"/>
      <c r="AD32" s="189"/>
      <c r="AE32" s="189"/>
      <c r="AF32" s="189"/>
      <c r="AG32" s="189"/>
      <c r="AH32" s="147"/>
      <c r="AI32" s="147"/>
      <c r="AJ32" s="147"/>
      <c r="AK32" s="147"/>
      <c r="AL32" s="147"/>
      <c r="AM32" s="147"/>
      <c r="AN32" s="147"/>
    </row>
    <row r="33">
      <c r="A33" s="187" t="s">
        <v>44</v>
      </c>
      <c r="B33" s="192">
        <f t="shared" ref="B33:AB33" si="8">(B24*0.7) + (IF(B31 &gt;= 30%, 1, 0)*0.15) + (B32*0.15)</f>
        <v>1</v>
      </c>
      <c r="C33" s="192">
        <f t="shared" si="8"/>
        <v>0.85</v>
      </c>
      <c r="D33" s="192">
        <f t="shared" si="8"/>
        <v>0.3</v>
      </c>
      <c r="E33" s="192">
        <f t="shared" si="8"/>
        <v>1</v>
      </c>
      <c r="F33" s="192">
        <f t="shared" si="8"/>
        <v>0.3</v>
      </c>
      <c r="G33" s="192">
        <f t="shared" si="8"/>
        <v>0.3</v>
      </c>
      <c r="H33" s="192">
        <f t="shared" si="8"/>
        <v>1</v>
      </c>
      <c r="I33" s="192">
        <f t="shared" si="8"/>
        <v>0.3</v>
      </c>
      <c r="J33" s="192">
        <f t="shared" si="8"/>
        <v>0.3</v>
      </c>
      <c r="K33" s="192">
        <f t="shared" si="8"/>
        <v>0.3</v>
      </c>
      <c r="L33" s="192">
        <f t="shared" si="8"/>
        <v>1</v>
      </c>
      <c r="M33" s="192">
        <f t="shared" si="8"/>
        <v>0.3</v>
      </c>
      <c r="N33" s="192">
        <f t="shared" si="8"/>
        <v>0.3</v>
      </c>
      <c r="O33" s="192">
        <f t="shared" si="8"/>
        <v>0.3</v>
      </c>
      <c r="P33" s="192">
        <f t="shared" si="8"/>
        <v>1</v>
      </c>
      <c r="Q33" s="192">
        <f t="shared" si="8"/>
        <v>0.85</v>
      </c>
      <c r="R33" s="192">
        <f t="shared" si="8"/>
        <v>0.3</v>
      </c>
      <c r="S33" s="192">
        <f t="shared" si="8"/>
        <v>1</v>
      </c>
      <c r="T33" s="192">
        <f t="shared" si="8"/>
        <v>0.3</v>
      </c>
      <c r="U33" s="192">
        <f t="shared" si="8"/>
        <v>0.3</v>
      </c>
      <c r="V33" s="192">
        <f t="shared" si="8"/>
        <v>0.3</v>
      </c>
      <c r="W33" s="192">
        <f t="shared" si="8"/>
        <v>0.3</v>
      </c>
      <c r="X33" s="192">
        <f t="shared" si="8"/>
        <v>0</v>
      </c>
      <c r="Y33" s="192">
        <f t="shared" si="8"/>
        <v>0</v>
      </c>
      <c r="Z33" s="192">
        <f t="shared" si="8"/>
        <v>0</v>
      </c>
      <c r="AA33" s="192">
        <f t="shared" si="8"/>
        <v>0</v>
      </c>
      <c r="AB33" s="192">
        <f t="shared" si="8"/>
        <v>0</v>
      </c>
      <c r="AC33" s="189"/>
      <c r="AD33" s="189"/>
      <c r="AE33" s="189"/>
      <c r="AF33" s="189"/>
      <c r="AG33" s="189"/>
      <c r="AH33" s="147"/>
      <c r="AI33" s="147"/>
      <c r="AJ33" s="147"/>
      <c r="AK33" s="147"/>
      <c r="AL33" s="147"/>
      <c r="AM33" s="147"/>
      <c r="AN33" s="147"/>
    </row>
    <row r="34">
      <c r="A34" s="193" t="s">
        <v>142</v>
      </c>
      <c r="B34" s="194"/>
      <c r="P34" s="192">
        <v>1.0</v>
      </c>
      <c r="Q34" s="195">
        <v>1.0</v>
      </c>
      <c r="R34" s="192">
        <v>0.3</v>
      </c>
      <c r="S34" s="192">
        <v>1.0</v>
      </c>
      <c r="T34" s="192">
        <v>0.3</v>
      </c>
      <c r="U34" s="192">
        <v>0.3</v>
      </c>
      <c r="V34" s="31"/>
    </row>
    <row r="35">
      <c r="A35" s="126" t="s">
        <v>45</v>
      </c>
      <c r="B35" s="127"/>
      <c r="C35" s="128"/>
      <c r="D35" s="128"/>
      <c r="E35" s="128"/>
      <c r="F35" s="128"/>
      <c r="G35" s="128"/>
      <c r="H35" s="128"/>
      <c r="I35" s="128"/>
      <c r="J35" s="128"/>
      <c r="K35" s="128"/>
      <c r="L35" s="128"/>
      <c r="M35" s="128"/>
      <c r="N35" s="128"/>
      <c r="O35" s="128"/>
      <c r="P35" s="128"/>
      <c r="Q35" s="128"/>
      <c r="R35" s="128"/>
      <c r="S35" s="128"/>
      <c r="T35" s="128"/>
      <c r="U35" s="128"/>
      <c r="V35" s="129"/>
      <c r="W35" s="128"/>
      <c r="X35" s="128"/>
      <c r="Y35" s="128"/>
      <c r="Z35" s="128"/>
      <c r="AA35" s="128"/>
      <c r="AB35" s="128"/>
      <c r="AC35" s="128"/>
      <c r="AD35" s="128"/>
      <c r="AE35" s="130"/>
      <c r="AF35" s="130"/>
      <c r="AG35" s="130"/>
      <c r="AH35" s="130"/>
      <c r="AI35" s="130"/>
      <c r="AJ35" s="130"/>
      <c r="AK35" s="130"/>
      <c r="AL35" s="130"/>
      <c r="AM35" s="130"/>
      <c r="AN35" s="130"/>
    </row>
    <row r="36">
      <c r="A36" s="196" t="s">
        <v>582</v>
      </c>
      <c r="B36" s="132">
        <v>13.0</v>
      </c>
      <c r="C36" s="133">
        <v>14.0</v>
      </c>
      <c r="D36" s="133">
        <v>23.0</v>
      </c>
      <c r="E36" s="133">
        <v>21.0</v>
      </c>
      <c r="F36" s="133">
        <v>22.0</v>
      </c>
      <c r="G36" s="133">
        <v>33.0</v>
      </c>
      <c r="H36" s="133">
        <v>23.0</v>
      </c>
      <c r="I36" s="133">
        <v>18.0</v>
      </c>
      <c r="J36" s="133">
        <v>13.0</v>
      </c>
      <c r="K36" s="130"/>
      <c r="L36" s="130"/>
      <c r="M36" s="130"/>
      <c r="N36" s="130"/>
      <c r="O36" s="130"/>
      <c r="P36" s="130"/>
      <c r="Q36" s="130"/>
      <c r="R36" s="133"/>
      <c r="S36" s="133"/>
      <c r="T36" s="133"/>
      <c r="U36" s="133"/>
      <c r="V36" s="134"/>
      <c r="W36" s="133"/>
      <c r="X36" s="133"/>
      <c r="Y36" s="133"/>
      <c r="Z36" s="133"/>
      <c r="AA36" s="133"/>
      <c r="AB36" s="133"/>
      <c r="AC36" s="133"/>
      <c r="AD36" s="130"/>
      <c r="AE36" s="130"/>
      <c r="AF36" s="130"/>
      <c r="AG36" s="130"/>
      <c r="AH36" s="130"/>
      <c r="AI36" s="130"/>
      <c r="AJ36" s="130"/>
      <c r="AK36" s="130"/>
      <c r="AL36" s="130"/>
      <c r="AM36" s="130"/>
      <c r="AN36" s="130"/>
    </row>
    <row r="37" ht="24.75" customHeight="1">
      <c r="A37" s="198" t="s">
        <v>583</v>
      </c>
      <c r="B37" s="132"/>
      <c r="C37" s="133"/>
      <c r="D37" s="133"/>
      <c r="E37" s="133"/>
      <c r="F37" s="133"/>
      <c r="G37" s="133"/>
      <c r="H37" s="133"/>
      <c r="I37" s="133"/>
      <c r="J37" s="133"/>
      <c r="K37" s="133">
        <v>24.0</v>
      </c>
      <c r="L37" s="133">
        <v>26.0</v>
      </c>
      <c r="M37" s="133">
        <v>29.0</v>
      </c>
      <c r="N37" s="133">
        <v>19.0</v>
      </c>
      <c r="O37" s="133">
        <v>23.0</v>
      </c>
      <c r="P37" s="133">
        <v>29.0</v>
      </c>
      <c r="Q37" s="133">
        <v>31.0</v>
      </c>
      <c r="R37" s="133">
        <v>24.0</v>
      </c>
      <c r="S37" s="133">
        <v>22.0</v>
      </c>
      <c r="T37" s="133">
        <v>26.0</v>
      </c>
      <c r="U37" s="133">
        <v>33.0</v>
      </c>
      <c r="V37" s="134">
        <v>27.0</v>
      </c>
      <c r="W37" s="133">
        <v>25.0</v>
      </c>
      <c r="X37" s="130"/>
      <c r="Y37" s="130"/>
      <c r="Z37" s="130"/>
      <c r="AA37" s="130"/>
      <c r="AB37" s="130"/>
      <c r="AC37" s="130"/>
      <c r="AD37" s="130"/>
      <c r="AE37" s="130"/>
      <c r="AF37" s="130"/>
      <c r="AG37" s="130"/>
      <c r="AH37" s="130"/>
      <c r="AI37" s="130"/>
      <c r="AJ37" s="130"/>
      <c r="AK37" s="130"/>
      <c r="AL37" s="130"/>
      <c r="AM37" s="130"/>
      <c r="AN37" s="130"/>
    </row>
    <row r="38" ht="24.75" customHeight="1">
      <c r="A38" s="196" t="s">
        <v>584</v>
      </c>
      <c r="B38" s="132">
        <v>38.0</v>
      </c>
      <c r="C38" s="133">
        <v>28.0</v>
      </c>
      <c r="D38" s="133">
        <v>16.0</v>
      </c>
      <c r="E38" s="133">
        <v>24.0</v>
      </c>
      <c r="F38" s="133">
        <v>26.0</v>
      </c>
      <c r="G38" s="133">
        <v>16.0</v>
      </c>
      <c r="H38" s="133">
        <v>26.0</v>
      </c>
      <c r="I38" s="133">
        <v>11.0</v>
      </c>
      <c r="J38" s="133">
        <v>21.0</v>
      </c>
      <c r="K38" s="133">
        <v>24.0</v>
      </c>
      <c r="L38" s="133">
        <v>24.0</v>
      </c>
      <c r="M38" s="133">
        <v>32.0</v>
      </c>
      <c r="N38" s="133">
        <v>24.0</v>
      </c>
      <c r="O38" s="133">
        <v>31.0</v>
      </c>
      <c r="P38" s="133">
        <v>30.0</v>
      </c>
      <c r="Q38" s="133">
        <v>27.0</v>
      </c>
      <c r="R38" s="133">
        <v>14.0</v>
      </c>
      <c r="S38" s="133">
        <v>11.0</v>
      </c>
      <c r="T38" s="133">
        <v>23.0</v>
      </c>
      <c r="U38" s="133">
        <v>29.0</v>
      </c>
      <c r="V38" s="134">
        <v>28.0</v>
      </c>
      <c r="W38" s="133">
        <v>26.0</v>
      </c>
      <c r="X38" s="130"/>
      <c r="Y38" s="130"/>
      <c r="Z38" s="130"/>
      <c r="AA38" s="130"/>
      <c r="AB38" s="130"/>
      <c r="AC38" s="130"/>
      <c r="AD38" s="130"/>
      <c r="AE38" s="130"/>
      <c r="AF38" s="130"/>
      <c r="AG38" s="130"/>
      <c r="AH38" s="130"/>
      <c r="AI38" s="130"/>
      <c r="AJ38" s="130"/>
      <c r="AK38" s="130"/>
      <c r="AL38" s="130"/>
      <c r="AM38" s="130"/>
      <c r="AN38" s="130"/>
    </row>
    <row r="39">
      <c r="A39" s="196" t="s">
        <v>585</v>
      </c>
      <c r="B39" s="132">
        <v>33.0</v>
      </c>
      <c r="C39" s="133">
        <v>30.0</v>
      </c>
      <c r="D39" s="133">
        <v>31.0</v>
      </c>
      <c r="E39" s="133">
        <v>29.0</v>
      </c>
      <c r="F39" s="133">
        <v>31.0</v>
      </c>
      <c r="G39" s="133">
        <v>27.0</v>
      </c>
      <c r="H39" s="133">
        <v>33.0</v>
      </c>
      <c r="I39" s="133">
        <v>10.0</v>
      </c>
      <c r="J39" s="133">
        <v>21.0</v>
      </c>
      <c r="K39" s="133">
        <v>29.0</v>
      </c>
      <c r="L39" s="133">
        <v>31.0</v>
      </c>
      <c r="M39" s="133">
        <v>31.0</v>
      </c>
      <c r="N39" s="133">
        <v>21.0</v>
      </c>
      <c r="O39" s="133">
        <v>26.0</v>
      </c>
      <c r="P39" s="133">
        <v>31.0</v>
      </c>
      <c r="Q39" s="133">
        <v>33.0</v>
      </c>
      <c r="R39" s="133">
        <v>31.0</v>
      </c>
      <c r="S39" s="133">
        <v>9.0</v>
      </c>
      <c r="T39" s="133">
        <v>25.0</v>
      </c>
      <c r="U39" s="133">
        <v>30.0</v>
      </c>
      <c r="V39" s="134">
        <v>26.0</v>
      </c>
      <c r="W39" s="133">
        <v>25.0</v>
      </c>
      <c r="X39" s="133"/>
      <c r="Y39" s="133"/>
      <c r="Z39" s="133"/>
      <c r="AA39" s="133"/>
      <c r="AB39" s="133"/>
      <c r="AC39" s="133"/>
      <c r="AD39" s="130"/>
      <c r="AE39" s="130"/>
      <c r="AF39" s="130"/>
      <c r="AG39" s="130"/>
      <c r="AH39" s="130"/>
      <c r="AI39" s="130"/>
      <c r="AJ39" s="130"/>
      <c r="AK39" s="130"/>
      <c r="AL39" s="130"/>
      <c r="AM39" s="130"/>
      <c r="AN39" s="130"/>
    </row>
    <row r="40">
      <c r="A40" s="198" t="s">
        <v>586</v>
      </c>
      <c r="B40" s="132"/>
      <c r="C40" s="133"/>
      <c r="D40" s="133"/>
      <c r="E40" s="133"/>
      <c r="F40" s="133"/>
      <c r="G40" s="133"/>
      <c r="H40" s="133"/>
      <c r="I40" s="133"/>
      <c r="J40" s="133"/>
      <c r="K40" s="133"/>
      <c r="L40" s="133"/>
      <c r="M40" s="133"/>
      <c r="N40" s="133"/>
      <c r="O40" s="133"/>
      <c r="P40" s="133"/>
      <c r="Q40" s="133"/>
      <c r="R40" s="133"/>
      <c r="S40" s="133"/>
      <c r="T40" s="133"/>
      <c r="U40" s="133"/>
      <c r="V40" s="134">
        <v>33.0</v>
      </c>
      <c r="W40" s="133">
        <v>32.0</v>
      </c>
      <c r="X40" s="133"/>
      <c r="Y40" s="133"/>
      <c r="Z40" s="133"/>
      <c r="AA40" s="133"/>
      <c r="AB40" s="133"/>
      <c r="AC40" s="133"/>
      <c r="AD40" s="130"/>
      <c r="AE40" s="130"/>
      <c r="AF40" s="130"/>
      <c r="AG40" s="130"/>
      <c r="AH40" s="130"/>
      <c r="AI40" s="130"/>
      <c r="AJ40" s="130"/>
      <c r="AK40" s="130"/>
      <c r="AL40" s="130"/>
      <c r="AM40" s="130"/>
      <c r="AN40" s="130"/>
    </row>
    <row r="41">
      <c r="A41" s="196" t="s">
        <v>587</v>
      </c>
      <c r="B41" s="132"/>
      <c r="C41" s="133"/>
      <c r="D41" s="133"/>
      <c r="E41" s="133"/>
      <c r="F41" s="133"/>
      <c r="G41" s="133"/>
      <c r="H41" s="133"/>
      <c r="I41" s="133"/>
      <c r="J41" s="133"/>
      <c r="K41" s="133"/>
      <c r="L41" s="133"/>
      <c r="M41" s="133"/>
      <c r="N41" s="133"/>
      <c r="O41" s="133"/>
      <c r="P41" s="133"/>
      <c r="Q41" s="133"/>
      <c r="R41" s="133"/>
      <c r="S41" s="133">
        <v>20.0</v>
      </c>
      <c r="T41" s="133">
        <v>22.0</v>
      </c>
      <c r="U41" s="133">
        <v>35.0</v>
      </c>
      <c r="V41" s="134">
        <v>28.0</v>
      </c>
      <c r="W41" s="133">
        <v>27.0</v>
      </c>
      <c r="X41" s="133"/>
      <c r="Y41" s="133"/>
      <c r="Z41" s="133"/>
      <c r="AA41" s="133"/>
      <c r="AB41" s="133"/>
      <c r="AC41" s="133"/>
      <c r="AD41" s="130"/>
      <c r="AE41" s="130"/>
      <c r="AF41" s="130"/>
      <c r="AG41" s="130"/>
      <c r="AH41" s="130"/>
      <c r="AI41" s="130"/>
      <c r="AJ41" s="130"/>
      <c r="AK41" s="130"/>
      <c r="AL41" s="130"/>
      <c r="AM41" s="130"/>
      <c r="AN41" s="130"/>
    </row>
    <row r="42">
      <c r="A42" s="196" t="s">
        <v>144</v>
      </c>
      <c r="B42" s="132" t="s">
        <v>59</v>
      </c>
      <c r="C42" s="133" t="s">
        <v>59</v>
      </c>
      <c r="D42" s="133" t="s">
        <v>59</v>
      </c>
      <c r="E42" s="133" t="s">
        <v>59</v>
      </c>
      <c r="F42" s="133">
        <v>13.0</v>
      </c>
      <c r="G42" s="133">
        <v>1.0</v>
      </c>
      <c r="H42" s="133">
        <v>9.0</v>
      </c>
      <c r="I42" s="133"/>
      <c r="J42" s="133">
        <v>0.0</v>
      </c>
      <c r="K42" s="130"/>
      <c r="L42" s="130"/>
      <c r="M42" s="130"/>
      <c r="N42" s="130"/>
      <c r="O42" s="130"/>
      <c r="P42" s="130"/>
      <c r="Q42" s="130"/>
      <c r="R42" s="133"/>
      <c r="S42" s="133"/>
      <c r="T42" s="133"/>
      <c r="U42" s="133"/>
      <c r="V42" s="134"/>
      <c r="W42" s="133"/>
      <c r="X42" s="133"/>
      <c r="Y42" s="133"/>
      <c r="Z42" s="133"/>
      <c r="AA42" s="133"/>
      <c r="AB42" s="133"/>
      <c r="AC42" s="133"/>
      <c r="AD42" s="130"/>
      <c r="AE42" s="130"/>
      <c r="AF42" s="130"/>
      <c r="AG42" s="130"/>
      <c r="AH42" s="130"/>
      <c r="AI42" s="130"/>
      <c r="AJ42" s="130"/>
      <c r="AK42" s="130"/>
      <c r="AL42" s="130"/>
      <c r="AM42" s="130"/>
      <c r="AN42" s="130"/>
    </row>
    <row r="43">
      <c r="A43" s="196" t="s">
        <v>588</v>
      </c>
      <c r="B43" s="132" t="s">
        <v>59</v>
      </c>
      <c r="C43" s="133">
        <v>13.0</v>
      </c>
      <c r="D43" s="133">
        <v>13.0</v>
      </c>
      <c r="E43" s="133" t="s">
        <v>59</v>
      </c>
      <c r="F43" s="130"/>
      <c r="G43" s="133" t="s">
        <v>59</v>
      </c>
      <c r="H43" s="130"/>
      <c r="I43" s="130"/>
      <c r="J43" s="130"/>
      <c r="K43" s="130"/>
      <c r="L43" s="130"/>
      <c r="M43" s="130"/>
      <c r="N43" s="130"/>
      <c r="O43" s="130"/>
      <c r="P43" s="130"/>
      <c r="Q43" s="130"/>
      <c r="R43" s="133"/>
      <c r="S43" s="133"/>
      <c r="T43" s="133"/>
      <c r="U43" s="133"/>
      <c r="V43" s="134"/>
      <c r="W43" s="133"/>
      <c r="X43" s="133"/>
      <c r="Y43" s="133"/>
      <c r="Z43" s="133"/>
      <c r="AA43" s="133"/>
      <c r="AB43" s="133"/>
      <c r="AC43" s="133"/>
      <c r="AD43" s="130"/>
      <c r="AE43" s="130"/>
      <c r="AF43" s="130"/>
      <c r="AG43" s="130"/>
      <c r="AH43" s="130"/>
      <c r="AI43" s="130"/>
      <c r="AJ43" s="130"/>
      <c r="AK43" s="130"/>
      <c r="AL43" s="130"/>
      <c r="AM43" s="130"/>
      <c r="AN43" s="130"/>
    </row>
    <row r="44">
      <c r="A44" s="196" t="s">
        <v>589</v>
      </c>
      <c r="B44" s="132">
        <v>18.0</v>
      </c>
      <c r="C44" s="133">
        <v>8.0</v>
      </c>
      <c r="D44" s="133" t="s">
        <v>59</v>
      </c>
      <c r="E44" s="133">
        <v>18.0</v>
      </c>
      <c r="F44" s="130"/>
      <c r="G44" s="133">
        <v>7.0</v>
      </c>
      <c r="H44" s="130"/>
      <c r="I44" s="130"/>
      <c r="J44" s="130"/>
      <c r="K44" s="130"/>
      <c r="L44" s="130"/>
      <c r="M44" s="130"/>
      <c r="N44" s="130"/>
      <c r="O44" s="130"/>
      <c r="P44" s="130"/>
      <c r="Q44" s="130"/>
      <c r="R44" s="133"/>
      <c r="S44" s="133"/>
      <c r="T44" s="133"/>
      <c r="U44" s="133"/>
      <c r="V44" s="134"/>
      <c r="W44" s="133"/>
      <c r="X44" s="133"/>
      <c r="Y44" s="133"/>
      <c r="Z44" s="133"/>
      <c r="AA44" s="133"/>
      <c r="AB44" s="133"/>
      <c r="AC44" s="133"/>
      <c r="AD44" s="130"/>
      <c r="AE44" s="130"/>
      <c r="AF44" s="130"/>
      <c r="AG44" s="130"/>
      <c r="AH44" s="130"/>
      <c r="AI44" s="130"/>
      <c r="AJ44" s="130"/>
      <c r="AK44" s="130"/>
      <c r="AL44" s="130"/>
      <c r="AM44" s="130"/>
      <c r="AN44" s="130"/>
    </row>
    <row r="45">
      <c r="A45" s="126" t="s">
        <v>46</v>
      </c>
      <c r="B45" s="127"/>
      <c r="C45" s="128"/>
      <c r="D45" s="128"/>
      <c r="E45" s="128"/>
      <c r="F45" s="128"/>
      <c r="G45" s="128"/>
      <c r="H45" s="128"/>
      <c r="I45" s="128"/>
      <c r="J45" s="128"/>
      <c r="K45" s="128"/>
      <c r="L45" s="128"/>
      <c r="M45" s="128"/>
      <c r="N45" s="128"/>
      <c r="O45" s="128"/>
      <c r="P45" s="128"/>
      <c r="Q45" s="128"/>
      <c r="R45" s="128"/>
      <c r="S45" s="128"/>
      <c r="T45" s="128"/>
      <c r="U45" s="128"/>
      <c r="V45" s="129"/>
      <c r="W45" s="128"/>
      <c r="X45" s="128"/>
      <c r="Y45" s="128"/>
      <c r="Z45" s="128"/>
      <c r="AA45" s="128"/>
      <c r="AB45" s="128"/>
      <c r="AC45" s="128"/>
      <c r="AD45" s="128"/>
      <c r="AE45" s="130"/>
      <c r="AF45" s="130"/>
      <c r="AG45" s="130"/>
      <c r="AH45" s="130"/>
      <c r="AI45" s="130"/>
      <c r="AJ45" s="130"/>
      <c r="AK45" s="130"/>
      <c r="AL45" s="130"/>
      <c r="AM45" s="130"/>
      <c r="AN45" s="130"/>
    </row>
    <row r="46">
      <c r="A46" s="196" t="s">
        <v>582</v>
      </c>
      <c r="B46" s="132">
        <v>15.0</v>
      </c>
      <c r="C46" s="133">
        <v>14.0</v>
      </c>
      <c r="D46" s="133">
        <v>26.0</v>
      </c>
      <c r="E46" s="133">
        <v>21.0</v>
      </c>
      <c r="F46" s="133">
        <v>16.0</v>
      </c>
      <c r="G46" s="133">
        <v>27.0</v>
      </c>
      <c r="H46" s="133">
        <v>18.0</v>
      </c>
      <c r="I46" s="133">
        <v>5.0</v>
      </c>
      <c r="J46" s="133">
        <v>13.0</v>
      </c>
      <c r="K46" s="133"/>
      <c r="L46" s="133"/>
      <c r="M46" s="133"/>
      <c r="N46" s="133"/>
      <c r="O46" s="133"/>
      <c r="P46" s="133"/>
      <c r="Q46" s="133"/>
      <c r="R46" s="133"/>
      <c r="S46" s="133"/>
      <c r="T46" s="133"/>
      <c r="U46" s="133"/>
      <c r="V46" s="134"/>
      <c r="W46" s="133"/>
      <c r="X46" s="133"/>
      <c r="Y46" s="133"/>
      <c r="Z46" s="133"/>
      <c r="AA46" s="133"/>
      <c r="AB46" s="133"/>
      <c r="AC46" s="130"/>
      <c r="AD46" s="130"/>
      <c r="AE46" s="130"/>
      <c r="AF46" s="130"/>
      <c r="AG46" s="130"/>
      <c r="AH46" s="130"/>
      <c r="AI46" s="130"/>
      <c r="AJ46" s="130"/>
      <c r="AK46" s="130"/>
      <c r="AL46" s="130"/>
      <c r="AM46" s="130"/>
      <c r="AN46" s="130"/>
    </row>
    <row r="47">
      <c r="A47" s="198" t="s">
        <v>583</v>
      </c>
      <c r="B47" s="132"/>
      <c r="C47" s="133"/>
      <c r="D47" s="133"/>
      <c r="E47" s="133"/>
      <c r="F47" s="133"/>
      <c r="G47" s="133"/>
      <c r="H47" s="133"/>
      <c r="I47" s="133"/>
      <c r="J47" s="133"/>
      <c r="K47" s="133">
        <v>11.0</v>
      </c>
      <c r="L47" s="133">
        <v>34.0</v>
      </c>
      <c r="M47" s="133">
        <v>19.0</v>
      </c>
      <c r="N47" s="133">
        <v>16.0</v>
      </c>
      <c r="O47" s="133">
        <v>5.0</v>
      </c>
      <c r="P47" s="133">
        <v>21.0</v>
      </c>
      <c r="Q47" s="133">
        <v>35.0</v>
      </c>
      <c r="R47" s="133">
        <v>13.0</v>
      </c>
      <c r="S47" s="133">
        <v>25.0</v>
      </c>
      <c r="T47" s="133">
        <v>5.0</v>
      </c>
      <c r="U47" s="133">
        <v>12.0</v>
      </c>
      <c r="V47" s="134">
        <v>25.0</v>
      </c>
      <c r="W47" s="130"/>
      <c r="X47" s="130"/>
      <c r="Y47" s="130"/>
      <c r="Z47" s="130"/>
      <c r="AA47" s="130"/>
      <c r="AB47" s="130"/>
      <c r="AC47" s="130"/>
      <c r="AD47" s="130"/>
      <c r="AE47" s="130"/>
      <c r="AF47" s="130"/>
      <c r="AG47" s="130"/>
      <c r="AH47" s="130"/>
      <c r="AI47" s="130"/>
      <c r="AJ47" s="130"/>
      <c r="AK47" s="130"/>
      <c r="AL47" s="130"/>
      <c r="AM47" s="130"/>
      <c r="AN47" s="130"/>
    </row>
    <row r="48">
      <c r="A48" s="196" t="s">
        <v>584</v>
      </c>
      <c r="B48" s="132">
        <v>21.0</v>
      </c>
      <c r="C48" s="133">
        <v>30.0</v>
      </c>
      <c r="D48" s="133">
        <v>18.0</v>
      </c>
      <c r="E48" s="133">
        <v>24.0</v>
      </c>
      <c r="F48" s="133">
        <v>5.0</v>
      </c>
      <c r="G48" s="133">
        <v>0.0</v>
      </c>
      <c r="H48" s="133">
        <v>21.0</v>
      </c>
      <c r="I48" s="133">
        <v>5.0</v>
      </c>
      <c r="J48" s="133">
        <v>15.0</v>
      </c>
      <c r="K48" s="133">
        <v>5.0</v>
      </c>
      <c r="L48" s="133">
        <v>27.0</v>
      </c>
      <c r="M48" s="133">
        <v>21.0</v>
      </c>
      <c r="N48" s="133">
        <v>16.0</v>
      </c>
      <c r="O48" s="133">
        <v>11.0</v>
      </c>
      <c r="P48" s="133">
        <v>30.0</v>
      </c>
      <c r="Q48" s="133">
        <v>27.0</v>
      </c>
      <c r="R48" s="133">
        <v>12.0</v>
      </c>
      <c r="S48" s="133">
        <v>3.0</v>
      </c>
      <c r="T48" s="133">
        <v>10.0</v>
      </c>
      <c r="U48" s="133">
        <v>20.0</v>
      </c>
      <c r="V48" s="134">
        <v>15.0</v>
      </c>
      <c r="W48" s="130"/>
      <c r="X48" s="130"/>
      <c r="Y48" s="130"/>
      <c r="Z48" s="130"/>
      <c r="AA48" s="130"/>
      <c r="AB48" s="130"/>
      <c r="AC48" s="130"/>
      <c r="AD48" s="130"/>
      <c r="AE48" s="130"/>
      <c r="AF48" s="130"/>
      <c r="AG48" s="130"/>
      <c r="AH48" s="130"/>
      <c r="AI48" s="130"/>
      <c r="AJ48" s="130"/>
      <c r="AK48" s="130"/>
      <c r="AL48" s="130"/>
      <c r="AM48" s="130"/>
      <c r="AN48" s="130"/>
    </row>
    <row r="49">
      <c r="A49" s="196" t="s">
        <v>585</v>
      </c>
      <c r="B49" s="137">
        <v>31.0</v>
      </c>
      <c r="C49" s="133">
        <v>30.0</v>
      </c>
      <c r="D49" s="133">
        <v>32.0</v>
      </c>
      <c r="E49" s="133">
        <v>22.0</v>
      </c>
      <c r="F49" s="133">
        <v>15.0</v>
      </c>
      <c r="G49" s="133">
        <v>19.0</v>
      </c>
      <c r="H49" s="133">
        <v>32.0</v>
      </c>
      <c r="I49" s="133">
        <v>9.0</v>
      </c>
      <c r="J49" s="133">
        <v>0.0</v>
      </c>
      <c r="K49" s="133">
        <v>29.0</v>
      </c>
      <c r="L49" s="133">
        <v>28.0</v>
      </c>
      <c r="M49" s="133">
        <v>14.0</v>
      </c>
      <c r="N49" s="133">
        <v>15.0</v>
      </c>
      <c r="O49" s="133">
        <v>9.0</v>
      </c>
      <c r="P49" s="133">
        <v>20.0</v>
      </c>
      <c r="Q49" s="133">
        <v>28.0</v>
      </c>
      <c r="R49" s="133">
        <v>31.0</v>
      </c>
      <c r="S49" s="133">
        <v>9.0</v>
      </c>
      <c r="T49" s="133">
        <v>9.0</v>
      </c>
      <c r="U49" s="133">
        <v>31.0</v>
      </c>
      <c r="V49" s="134">
        <v>16.0</v>
      </c>
      <c r="W49" s="130"/>
      <c r="X49" s="130"/>
      <c r="Y49" s="130"/>
      <c r="Z49" s="130"/>
      <c r="AA49" s="130"/>
      <c r="AB49" s="130"/>
      <c r="AC49" s="130"/>
      <c r="AD49" s="130"/>
      <c r="AE49" s="130"/>
      <c r="AF49" s="130"/>
      <c r="AG49" s="130"/>
      <c r="AH49" s="130"/>
      <c r="AI49" s="130"/>
      <c r="AJ49" s="130"/>
      <c r="AK49" s="130"/>
      <c r="AL49" s="130"/>
      <c r="AM49" s="130"/>
      <c r="AN49" s="130"/>
    </row>
    <row r="50">
      <c r="A50" s="198" t="s">
        <v>586</v>
      </c>
      <c r="B50" s="137"/>
      <c r="C50" s="133"/>
      <c r="D50" s="133"/>
      <c r="E50" s="133"/>
      <c r="F50" s="133"/>
      <c r="G50" s="133"/>
      <c r="H50" s="133"/>
      <c r="I50" s="133"/>
      <c r="J50" s="133"/>
      <c r="K50" s="133"/>
      <c r="L50" s="133"/>
      <c r="M50" s="133"/>
      <c r="N50" s="133"/>
      <c r="O50" s="133"/>
      <c r="P50" s="133"/>
      <c r="Q50" s="133"/>
      <c r="R50" s="133"/>
      <c r="S50" s="133"/>
      <c r="T50" s="133"/>
      <c r="U50" s="133"/>
      <c r="V50" s="134">
        <v>9.0</v>
      </c>
      <c r="W50" s="130"/>
      <c r="X50" s="130"/>
      <c r="Y50" s="130"/>
      <c r="Z50" s="130"/>
      <c r="AA50" s="130"/>
      <c r="AB50" s="130"/>
      <c r="AC50" s="130"/>
      <c r="AD50" s="130"/>
      <c r="AE50" s="130"/>
      <c r="AF50" s="130"/>
      <c r="AG50" s="130"/>
      <c r="AH50" s="130"/>
      <c r="AI50" s="130"/>
      <c r="AJ50" s="130"/>
      <c r="AK50" s="130"/>
      <c r="AL50" s="130"/>
      <c r="AM50" s="130"/>
      <c r="AN50" s="130"/>
    </row>
    <row r="51">
      <c r="A51" s="196" t="s">
        <v>587</v>
      </c>
      <c r="B51" s="137"/>
      <c r="C51" s="133"/>
      <c r="D51" s="133"/>
      <c r="E51" s="133"/>
      <c r="F51" s="133"/>
      <c r="G51" s="133"/>
      <c r="H51" s="133"/>
      <c r="I51" s="133"/>
      <c r="J51" s="133"/>
      <c r="K51" s="133"/>
      <c r="L51" s="133"/>
      <c r="M51" s="133"/>
      <c r="N51" s="133"/>
      <c r="O51" s="133"/>
      <c r="P51" s="133"/>
      <c r="Q51" s="133"/>
      <c r="R51" s="133"/>
      <c r="S51" s="133">
        <v>26.0</v>
      </c>
      <c r="T51" s="133">
        <v>22.0</v>
      </c>
      <c r="U51" s="133">
        <v>23.0</v>
      </c>
      <c r="V51" s="134">
        <v>33.0</v>
      </c>
      <c r="W51" s="130"/>
      <c r="X51" s="130"/>
      <c r="Y51" s="130"/>
      <c r="Z51" s="130"/>
      <c r="AA51" s="130"/>
      <c r="AB51" s="130"/>
      <c r="AC51" s="130"/>
      <c r="AD51" s="130"/>
      <c r="AE51" s="130"/>
      <c r="AF51" s="130"/>
      <c r="AG51" s="130"/>
      <c r="AH51" s="130"/>
      <c r="AI51" s="130"/>
      <c r="AJ51" s="130"/>
      <c r="AK51" s="130"/>
      <c r="AL51" s="130"/>
      <c r="AM51" s="130"/>
      <c r="AN51" s="130"/>
    </row>
    <row r="52">
      <c r="A52" s="196" t="s">
        <v>144</v>
      </c>
      <c r="B52" s="137">
        <v>13.0</v>
      </c>
      <c r="C52" s="133" t="s">
        <v>59</v>
      </c>
      <c r="D52" s="133" t="s">
        <v>59</v>
      </c>
      <c r="E52" s="133" t="s">
        <v>59</v>
      </c>
      <c r="F52" s="133">
        <v>3.0</v>
      </c>
      <c r="G52" s="133">
        <v>0.0</v>
      </c>
      <c r="H52" s="133">
        <v>0.0</v>
      </c>
      <c r="I52" s="133"/>
      <c r="J52" s="133">
        <v>0.0</v>
      </c>
      <c r="K52" s="133"/>
      <c r="L52" s="133"/>
      <c r="M52" s="133"/>
      <c r="N52" s="133"/>
      <c r="O52" s="133"/>
      <c r="P52" s="133"/>
      <c r="Q52" s="133"/>
      <c r="R52" s="133"/>
      <c r="S52" s="133"/>
      <c r="T52" s="133"/>
      <c r="U52" s="133"/>
      <c r="V52" s="134"/>
      <c r="W52" s="133"/>
      <c r="X52" s="133"/>
      <c r="Y52" s="133"/>
      <c r="Z52" s="133"/>
      <c r="AA52" s="133"/>
      <c r="AB52" s="133"/>
      <c r="AC52" s="130"/>
      <c r="AD52" s="130"/>
      <c r="AE52" s="130"/>
      <c r="AF52" s="130"/>
      <c r="AG52" s="130"/>
      <c r="AH52" s="130"/>
      <c r="AI52" s="130"/>
      <c r="AJ52" s="130"/>
      <c r="AK52" s="130"/>
      <c r="AL52" s="130"/>
      <c r="AM52" s="130"/>
      <c r="AN52" s="130"/>
    </row>
    <row r="53">
      <c r="A53" s="196" t="s">
        <v>588</v>
      </c>
      <c r="B53" s="137" t="s">
        <v>59</v>
      </c>
      <c r="C53" s="133">
        <v>13.0</v>
      </c>
      <c r="D53" s="133">
        <v>13.0</v>
      </c>
      <c r="E53" s="133" t="s">
        <v>59</v>
      </c>
      <c r="F53" s="133"/>
      <c r="G53" s="133" t="s">
        <v>59</v>
      </c>
      <c r="H53" s="133"/>
      <c r="I53" s="133"/>
      <c r="J53" s="133"/>
      <c r="K53" s="133"/>
      <c r="L53" s="133"/>
      <c r="M53" s="133"/>
      <c r="N53" s="133"/>
      <c r="O53" s="133"/>
      <c r="P53" s="133"/>
      <c r="Q53" s="133"/>
      <c r="R53" s="133"/>
      <c r="S53" s="133"/>
      <c r="T53" s="133"/>
      <c r="U53" s="133"/>
      <c r="V53" s="134"/>
      <c r="W53" s="133"/>
      <c r="X53" s="133"/>
      <c r="Y53" s="133"/>
      <c r="Z53" s="133"/>
      <c r="AA53" s="133"/>
      <c r="AB53" s="133"/>
      <c r="AC53" s="130"/>
      <c r="AD53" s="130"/>
      <c r="AE53" s="130"/>
      <c r="AF53" s="130"/>
      <c r="AG53" s="130"/>
      <c r="AH53" s="130"/>
      <c r="AI53" s="130"/>
      <c r="AJ53" s="130"/>
      <c r="AK53" s="130"/>
      <c r="AL53" s="130"/>
      <c r="AM53" s="130"/>
      <c r="AN53" s="130"/>
    </row>
    <row r="54">
      <c r="A54" s="196" t="s">
        <v>589</v>
      </c>
      <c r="B54" s="137">
        <v>18.0</v>
      </c>
      <c r="C54" s="133"/>
      <c r="D54" s="133" t="s">
        <v>59</v>
      </c>
      <c r="E54" s="133">
        <v>18.0</v>
      </c>
      <c r="F54" s="133"/>
      <c r="G54" s="133">
        <v>2.0</v>
      </c>
      <c r="H54" s="133"/>
      <c r="I54" s="133"/>
      <c r="J54" s="133"/>
      <c r="K54" s="133"/>
      <c r="L54" s="133"/>
      <c r="M54" s="133"/>
      <c r="N54" s="133"/>
      <c r="O54" s="133"/>
      <c r="P54" s="133"/>
      <c r="Q54" s="133"/>
      <c r="R54" s="133"/>
      <c r="S54" s="133"/>
      <c r="T54" s="133"/>
      <c r="U54" s="133"/>
      <c r="V54" s="134"/>
      <c r="W54" s="133"/>
      <c r="X54" s="133"/>
      <c r="Y54" s="133"/>
      <c r="Z54" s="133"/>
      <c r="AA54" s="133"/>
      <c r="AB54" s="133"/>
      <c r="AC54" s="130"/>
      <c r="AD54" s="130"/>
      <c r="AE54" s="130"/>
      <c r="AF54" s="130"/>
      <c r="AG54" s="130"/>
      <c r="AH54" s="130"/>
      <c r="AI54" s="130"/>
      <c r="AJ54" s="130"/>
      <c r="AK54" s="130"/>
      <c r="AL54" s="130"/>
      <c r="AM54" s="130"/>
      <c r="AN54" s="130"/>
    </row>
    <row r="55">
      <c r="A55" s="407" t="s">
        <v>590</v>
      </c>
      <c r="B55" s="283"/>
      <c r="C55" s="284"/>
      <c r="D55" s="284"/>
      <c r="E55" s="284"/>
      <c r="F55" s="284"/>
      <c r="G55" s="284"/>
      <c r="H55" s="284"/>
      <c r="I55" s="284"/>
      <c r="J55" s="284"/>
      <c r="K55" s="284"/>
      <c r="L55" s="284"/>
      <c r="M55" s="284"/>
      <c r="N55" s="284"/>
      <c r="O55" s="284"/>
      <c r="P55" s="284"/>
      <c r="Q55" s="284"/>
      <c r="R55" s="284"/>
      <c r="S55" s="284"/>
      <c r="T55" s="284"/>
      <c r="U55" s="284"/>
      <c r="V55" s="285"/>
      <c r="W55" s="284"/>
      <c r="X55" s="284"/>
      <c r="Y55" s="284"/>
      <c r="Z55" s="284"/>
      <c r="AA55" s="284"/>
      <c r="AB55" s="284"/>
      <c r="AC55" s="128"/>
      <c r="AD55" s="128"/>
      <c r="AE55" s="128"/>
      <c r="AF55" s="128"/>
      <c r="AG55" s="128"/>
      <c r="AH55" s="128"/>
      <c r="AI55" s="128"/>
      <c r="AJ55" s="128"/>
      <c r="AK55" s="128"/>
      <c r="AL55" s="128"/>
      <c r="AM55" s="128"/>
      <c r="AN55" s="128"/>
    </row>
    <row r="56">
      <c r="A56" s="196" t="s">
        <v>582</v>
      </c>
      <c r="B56" s="401">
        <f t="shared" ref="B56:V56" si="9">B46/B36</f>
        <v>1.153846154</v>
      </c>
      <c r="C56" s="401">
        <f t="shared" si="9"/>
        <v>1</v>
      </c>
      <c r="D56" s="401">
        <f t="shared" si="9"/>
        <v>1.130434783</v>
      </c>
      <c r="E56" s="401">
        <f t="shared" si="9"/>
        <v>1</v>
      </c>
      <c r="F56" s="401">
        <f t="shared" si="9"/>
        <v>0.7272727273</v>
      </c>
      <c r="G56" s="401">
        <f t="shared" si="9"/>
        <v>0.8181818182</v>
      </c>
      <c r="H56" s="401">
        <f t="shared" si="9"/>
        <v>0.7826086957</v>
      </c>
      <c r="I56" s="401">
        <f t="shared" si="9"/>
        <v>0.2777777778</v>
      </c>
      <c r="J56" s="401">
        <f t="shared" si="9"/>
        <v>1</v>
      </c>
      <c r="K56" s="401" t="str">
        <f t="shared" si="9"/>
        <v>#DIV/0!</v>
      </c>
      <c r="L56" s="401" t="str">
        <f t="shared" si="9"/>
        <v>#DIV/0!</v>
      </c>
      <c r="M56" s="401" t="str">
        <f t="shared" si="9"/>
        <v>#DIV/0!</v>
      </c>
      <c r="N56" s="401" t="str">
        <f t="shared" si="9"/>
        <v>#DIV/0!</v>
      </c>
      <c r="O56" s="401" t="str">
        <f t="shared" si="9"/>
        <v>#DIV/0!</v>
      </c>
      <c r="P56" s="401" t="str">
        <f t="shared" si="9"/>
        <v>#DIV/0!</v>
      </c>
      <c r="Q56" s="401" t="str">
        <f t="shared" si="9"/>
        <v>#DIV/0!</v>
      </c>
      <c r="R56" s="401" t="str">
        <f t="shared" si="9"/>
        <v>#DIV/0!</v>
      </c>
      <c r="S56" s="401" t="str">
        <f t="shared" si="9"/>
        <v>#DIV/0!</v>
      </c>
      <c r="T56" s="401" t="str">
        <f t="shared" si="9"/>
        <v>#DIV/0!</v>
      </c>
      <c r="U56" s="401" t="str">
        <f t="shared" si="9"/>
        <v>#DIV/0!</v>
      </c>
      <c r="V56" s="401" t="str">
        <f t="shared" si="9"/>
        <v>#DIV/0!</v>
      </c>
      <c r="W56" s="133"/>
      <c r="X56" s="133"/>
      <c r="Y56" s="133"/>
      <c r="Z56" s="133"/>
      <c r="AA56" s="133"/>
      <c r="AB56" s="133"/>
      <c r="AC56" s="130"/>
      <c r="AD56" s="130"/>
      <c r="AE56" s="130"/>
      <c r="AF56" s="130"/>
      <c r="AG56" s="130"/>
      <c r="AH56" s="130"/>
      <c r="AI56" s="130"/>
      <c r="AJ56" s="130"/>
      <c r="AK56" s="130"/>
      <c r="AL56" s="130"/>
      <c r="AM56" s="130"/>
      <c r="AN56" s="130"/>
    </row>
    <row r="57">
      <c r="A57" s="198" t="s">
        <v>583</v>
      </c>
      <c r="B57" s="401"/>
      <c r="C57" s="401"/>
      <c r="D57" s="401"/>
      <c r="E57" s="401"/>
      <c r="F57" s="401"/>
      <c r="G57" s="401"/>
      <c r="H57" s="401"/>
      <c r="I57" s="401"/>
      <c r="J57" s="401" t="str">
        <f t="shared" ref="J57:V57" si="10">J47/J37</f>
        <v>#DIV/0!</v>
      </c>
      <c r="K57" s="401">
        <f t="shared" si="10"/>
        <v>0.4583333333</v>
      </c>
      <c r="L57" s="401">
        <f t="shared" si="10"/>
        <v>1.307692308</v>
      </c>
      <c r="M57" s="401">
        <f t="shared" si="10"/>
        <v>0.6551724138</v>
      </c>
      <c r="N57" s="401">
        <f t="shared" si="10"/>
        <v>0.8421052632</v>
      </c>
      <c r="O57" s="401">
        <f t="shared" si="10"/>
        <v>0.2173913043</v>
      </c>
      <c r="P57" s="401">
        <f t="shared" si="10"/>
        <v>0.724137931</v>
      </c>
      <c r="Q57" s="401">
        <f t="shared" si="10"/>
        <v>1.129032258</v>
      </c>
      <c r="R57" s="401">
        <f t="shared" si="10"/>
        <v>0.5416666667</v>
      </c>
      <c r="S57" s="401">
        <f t="shared" si="10"/>
        <v>1.136363636</v>
      </c>
      <c r="T57" s="401">
        <f t="shared" si="10"/>
        <v>0.1923076923</v>
      </c>
      <c r="U57" s="401">
        <f t="shared" si="10"/>
        <v>0.3636363636</v>
      </c>
      <c r="V57" s="401">
        <f t="shared" si="10"/>
        <v>0.9259259259</v>
      </c>
      <c r="W57" s="133"/>
      <c r="X57" s="133"/>
      <c r="Y57" s="133"/>
      <c r="Z57" s="133"/>
      <c r="AA57" s="133"/>
      <c r="AB57" s="133"/>
      <c r="AC57" s="130"/>
      <c r="AD57" s="130"/>
      <c r="AE57" s="130"/>
      <c r="AF57" s="130"/>
      <c r="AG57" s="130"/>
      <c r="AH57" s="130"/>
      <c r="AI57" s="130"/>
      <c r="AJ57" s="130"/>
      <c r="AK57" s="130"/>
      <c r="AL57" s="130"/>
      <c r="AM57" s="130"/>
      <c r="AN57" s="130"/>
    </row>
    <row r="58">
      <c r="A58" s="196" t="s">
        <v>584</v>
      </c>
      <c r="B58" s="401">
        <f t="shared" ref="B58:V58" si="11">B48/B38</f>
        <v>0.5526315789</v>
      </c>
      <c r="C58" s="401">
        <f t="shared" si="11"/>
        <v>1.071428571</v>
      </c>
      <c r="D58" s="401">
        <f t="shared" si="11"/>
        <v>1.125</v>
      </c>
      <c r="E58" s="401">
        <f t="shared" si="11"/>
        <v>1</v>
      </c>
      <c r="F58" s="401">
        <f t="shared" si="11"/>
        <v>0.1923076923</v>
      </c>
      <c r="G58" s="401">
        <f t="shared" si="11"/>
        <v>0</v>
      </c>
      <c r="H58" s="401">
        <f t="shared" si="11"/>
        <v>0.8076923077</v>
      </c>
      <c r="I58" s="401">
        <f t="shared" si="11"/>
        <v>0.4545454545</v>
      </c>
      <c r="J58" s="401">
        <f t="shared" si="11"/>
        <v>0.7142857143</v>
      </c>
      <c r="K58" s="401">
        <f t="shared" si="11"/>
        <v>0.2083333333</v>
      </c>
      <c r="L58" s="401">
        <f t="shared" si="11"/>
        <v>1.125</v>
      </c>
      <c r="M58" s="401">
        <f t="shared" si="11"/>
        <v>0.65625</v>
      </c>
      <c r="N58" s="401">
        <f t="shared" si="11"/>
        <v>0.6666666667</v>
      </c>
      <c r="O58" s="401">
        <f t="shared" si="11"/>
        <v>0.3548387097</v>
      </c>
      <c r="P58" s="401">
        <f t="shared" si="11"/>
        <v>1</v>
      </c>
      <c r="Q58" s="401">
        <f t="shared" si="11"/>
        <v>1</v>
      </c>
      <c r="R58" s="401">
        <f t="shared" si="11"/>
        <v>0.8571428571</v>
      </c>
      <c r="S58" s="401">
        <f t="shared" si="11"/>
        <v>0.2727272727</v>
      </c>
      <c r="T58" s="401">
        <f t="shared" si="11"/>
        <v>0.4347826087</v>
      </c>
      <c r="U58" s="401">
        <f t="shared" si="11"/>
        <v>0.6896551724</v>
      </c>
      <c r="V58" s="401">
        <f t="shared" si="11"/>
        <v>0.5357142857</v>
      </c>
      <c r="W58" s="133"/>
      <c r="X58" s="133"/>
      <c r="Y58" s="133"/>
      <c r="Z58" s="133"/>
      <c r="AA58" s="133"/>
      <c r="AB58" s="133"/>
      <c r="AC58" s="130"/>
      <c r="AD58" s="130"/>
      <c r="AE58" s="130"/>
      <c r="AF58" s="130"/>
      <c r="AG58" s="130"/>
      <c r="AH58" s="130"/>
      <c r="AI58" s="130"/>
      <c r="AJ58" s="130"/>
      <c r="AK58" s="130"/>
      <c r="AL58" s="130"/>
      <c r="AM58" s="130"/>
      <c r="AN58" s="130"/>
    </row>
    <row r="59">
      <c r="A59" s="196" t="s">
        <v>585</v>
      </c>
      <c r="B59" s="401">
        <f t="shared" ref="B59:V59" si="12">B49/B39</f>
        <v>0.9393939394</v>
      </c>
      <c r="C59" s="401">
        <f t="shared" si="12"/>
        <v>1</v>
      </c>
      <c r="D59" s="401">
        <f t="shared" si="12"/>
        <v>1.032258065</v>
      </c>
      <c r="E59" s="401">
        <f t="shared" si="12"/>
        <v>0.7586206897</v>
      </c>
      <c r="F59" s="401">
        <f t="shared" si="12"/>
        <v>0.4838709677</v>
      </c>
      <c r="G59" s="401">
        <f t="shared" si="12"/>
        <v>0.7037037037</v>
      </c>
      <c r="H59" s="401">
        <f t="shared" si="12"/>
        <v>0.9696969697</v>
      </c>
      <c r="I59" s="401">
        <f t="shared" si="12"/>
        <v>0.9</v>
      </c>
      <c r="J59" s="401">
        <f t="shared" si="12"/>
        <v>0</v>
      </c>
      <c r="K59" s="401">
        <f t="shared" si="12"/>
        <v>1</v>
      </c>
      <c r="L59" s="401">
        <f t="shared" si="12"/>
        <v>0.9032258065</v>
      </c>
      <c r="M59" s="401">
        <f t="shared" si="12"/>
        <v>0.4516129032</v>
      </c>
      <c r="N59" s="401">
        <f t="shared" si="12"/>
        <v>0.7142857143</v>
      </c>
      <c r="O59" s="401">
        <f t="shared" si="12"/>
        <v>0.3461538462</v>
      </c>
      <c r="P59" s="401">
        <f t="shared" si="12"/>
        <v>0.6451612903</v>
      </c>
      <c r="Q59" s="401">
        <f t="shared" si="12"/>
        <v>0.8484848485</v>
      </c>
      <c r="R59" s="401">
        <f t="shared" si="12"/>
        <v>1</v>
      </c>
      <c r="S59" s="401">
        <f t="shared" si="12"/>
        <v>1</v>
      </c>
      <c r="T59" s="401">
        <f t="shared" si="12"/>
        <v>0.36</v>
      </c>
      <c r="U59" s="401">
        <f t="shared" si="12"/>
        <v>1.033333333</v>
      </c>
      <c r="V59" s="401">
        <f t="shared" si="12"/>
        <v>0.6153846154</v>
      </c>
      <c r="W59" s="133"/>
      <c r="X59" s="133"/>
      <c r="Y59" s="133"/>
      <c r="Z59" s="133"/>
      <c r="AA59" s="133"/>
      <c r="AB59" s="133"/>
      <c r="AC59" s="130"/>
      <c r="AD59" s="130"/>
      <c r="AE59" s="130"/>
      <c r="AF59" s="130"/>
      <c r="AG59" s="130"/>
      <c r="AH59" s="130"/>
      <c r="AI59" s="130"/>
      <c r="AJ59" s="130"/>
      <c r="AK59" s="130"/>
      <c r="AL59" s="130"/>
      <c r="AM59" s="130"/>
      <c r="AN59" s="130"/>
    </row>
    <row r="60">
      <c r="A60" s="198" t="s">
        <v>586</v>
      </c>
      <c r="B60" s="401"/>
      <c r="C60" s="401"/>
      <c r="D60" s="401"/>
      <c r="E60" s="401"/>
      <c r="F60" s="401"/>
      <c r="G60" s="401"/>
      <c r="H60" s="401"/>
      <c r="I60" s="401"/>
      <c r="J60" s="401"/>
      <c r="K60" s="401"/>
      <c r="L60" s="401"/>
      <c r="M60" s="401"/>
      <c r="N60" s="401"/>
      <c r="O60" s="401"/>
      <c r="P60" s="401"/>
      <c r="Q60" s="401"/>
      <c r="R60" s="401"/>
      <c r="S60" s="401"/>
      <c r="T60" s="401"/>
      <c r="U60" s="401" t="str">
        <f t="shared" ref="U60:V60" si="13">U50/U40</f>
        <v>#DIV/0!</v>
      </c>
      <c r="V60" s="401">
        <f t="shared" si="13"/>
        <v>0.2727272727</v>
      </c>
      <c r="W60" s="133"/>
      <c r="X60" s="133"/>
      <c r="Y60" s="133"/>
      <c r="Z60" s="133"/>
      <c r="AA60" s="133"/>
      <c r="AB60" s="133"/>
      <c r="AC60" s="130"/>
      <c r="AD60" s="130"/>
      <c r="AE60" s="130"/>
      <c r="AF60" s="130"/>
      <c r="AG60" s="130"/>
      <c r="AH60" s="130"/>
      <c r="AI60" s="130"/>
      <c r="AJ60" s="130"/>
      <c r="AK60" s="130"/>
      <c r="AL60" s="130"/>
      <c r="AM60" s="130"/>
      <c r="AN60" s="130"/>
    </row>
    <row r="61">
      <c r="A61" s="196" t="s">
        <v>587</v>
      </c>
      <c r="B61" s="401"/>
      <c r="C61" s="401"/>
      <c r="D61" s="401"/>
      <c r="E61" s="401"/>
      <c r="F61" s="401"/>
      <c r="G61" s="401"/>
      <c r="H61" s="401"/>
      <c r="I61" s="401"/>
      <c r="J61" s="408" t="str">
        <f t="shared" ref="J61:V61" si="14">J51/J41</f>
        <v>#DIV/0!</v>
      </c>
      <c r="K61" s="408" t="str">
        <f t="shared" si="14"/>
        <v>#DIV/0!</v>
      </c>
      <c r="L61" s="408" t="str">
        <f t="shared" si="14"/>
        <v>#DIV/0!</v>
      </c>
      <c r="M61" s="408" t="str">
        <f t="shared" si="14"/>
        <v>#DIV/0!</v>
      </c>
      <c r="N61" s="408" t="str">
        <f t="shared" si="14"/>
        <v>#DIV/0!</v>
      </c>
      <c r="O61" s="408" t="str">
        <f t="shared" si="14"/>
        <v>#DIV/0!</v>
      </c>
      <c r="P61" s="408" t="str">
        <f t="shared" si="14"/>
        <v>#DIV/0!</v>
      </c>
      <c r="Q61" s="408" t="str">
        <f t="shared" si="14"/>
        <v>#DIV/0!</v>
      </c>
      <c r="R61" s="408" t="str">
        <f t="shared" si="14"/>
        <v>#DIV/0!</v>
      </c>
      <c r="S61" s="408">
        <f t="shared" si="14"/>
        <v>1.3</v>
      </c>
      <c r="T61" s="408">
        <f t="shared" si="14"/>
        <v>1</v>
      </c>
      <c r="U61" s="408">
        <f t="shared" si="14"/>
        <v>0.6571428571</v>
      </c>
      <c r="V61" s="408">
        <f t="shared" si="14"/>
        <v>1.178571429</v>
      </c>
      <c r="W61" s="133"/>
      <c r="X61" s="133"/>
      <c r="Y61" s="133"/>
      <c r="Z61" s="133"/>
      <c r="AA61" s="133"/>
      <c r="AB61" s="133"/>
      <c r="AC61" s="130"/>
      <c r="AD61" s="130"/>
      <c r="AE61" s="130"/>
      <c r="AF61" s="130"/>
      <c r="AG61" s="130"/>
      <c r="AH61" s="130"/>
      <c r="AI61" s="130"/>
      <c r="AJ61" s="130"/>
      <c r="AK61" s="130"/>
      <c r="AL61" s="130"/>
      <c r="AM61" s="130"/>
      <c r="AN61" s="130"/>
    </row>
    <row r="62">
      <c r="A62" s="196" t="s">
        <v>144</v>
      </c>
      <c r="B62" s="401" t="str">
        <f t="shared" ref="B62:V62" si="15">B52/B42</f>
        <v>#VALUE!</v>
      </c>
      <c r="C62" s="401" t="str">
        <f t="shared" si="15"/>
        <v>#VALUE!</v>
      </c>
      <c r="D62" s="401" t="str">
        <f t="shared" si="15"/>
        <v>#VALUE!</v>
      </c>
      <c r="E62" s="401" t="str">
        <f t="shared" si="15"/>
        <v>#VALUE!</v>
      </c>
      <c r="F62" s="401">
        <f t="shared" si="15"/>
        <v>0.2307692308</v>
      </c>
      <c r="G62" s="401">
        <f t="shared" si="15"/>
        <v>0</v>
      </c>
      <c r="H62" s="401">
        <f t="shared" si="15"/>
        <v>0</v>
      </c>
      <c r="I62" s="401" t="str">
        <f t="shared" si="15"/>
        <v>#DIV/0!</v>
      </c>
      <c r="J62" s="401" t="str">
        <f t="shared" si="15"/>
        <v>#DIV/0!</v>
      </c>
      <c r="K62" s="401" t="str">
        <f t="shared" si="15"/>
        <v>#DIV/0!</v>
      </c>
      <c r="L62" s="401" t="str">
        <f t="shared" si="15"/>
        <v>#DIV/0!</v>
      </c>
      <c r="M62" s="401" t="str">
        <f t="shared" si="15"/>
        <v>#DIV/0!</v>
      </c>
      <c r="N62" s="401" t="str">
        <f t="shared" si="15"/>
        <v>#DIV/0!</v>
      </c>
      <c r="O62" s="401" t="str">
        <f t="shared" si="15"/>
        <v>#DIV/0!</v>
      </c>
      <c r="P62" s="401" t="str">
        <f t="shared" si="15"/>
        <v>#DIV/0!</v>
      </c>
      <c r="Q62" s="401" t="str">
        <f t="shared" si="15"/>
        <v>#DIV/0!</v>
      </c>
      <c r="R62" s="401" t="str">
        <f t="shared" si="15"/>
        <v>#DIV/0!</v>
      </c>
      <c r="S62" s="401" t="str">
        <f t="shared" si="15"/>
        <v>#DIV/0!</v>
      </c>
      <c r="T62" s="401" t="str">
        <f t="shared" si="15"/>
        <v>#DIV/0!</v>
      </c>
      <c r="U62" s="401" t="str">
        <f t="shared" si="15"/>
        <v>#DIV/0!</v>
      </c>
      <c r="V62" s="401" t="str">
        <f t="shared" si="15"/>
        <v>#DIV/0!</v>
      </c>
      <c r="W62" s="133"/>
      <c r="X62" s="133"/>
      <c r="Y62" s="133"/>
      <c r="Z62" s="133"/>
      <c r="AA62" s="133"/>
      <c r="AB62" s="133"/>
      <c r="AC62" s="130"/>
      <c r="AD62" s="130"/>
      <c r="AE62" s="130"/>
      <c r="AF62" s="130"/>
      <c r="AG62" s="130"/>
      <c r="AH62" s="130"/>
      <c r="AI62" s="130"/>
      <c r="AJ62" s="130"/>
      <c r="AK62" s="130"/>
      <c r="AL62" s="130"/>
      <c r="AM62" s="130"/>
      <c r="AN62" s="130"/>
    </row>
    <row r="63">
      <c r="A63" s="409" t="s">
        <v>588</v>
      </c>
      <c r="B63" s="401" t="str">
        <f t="shared" ref="B63:G63" si="16">B53/B43</f>
        <v>#VALUE!</v>
      </c>
      <c r="C63" s="401">
        <f t="shared" si="16"/>
        <v>1</v>
      </c>
      <c r="D63" s="401">
        <f t="shared" si="16"/>
        <v>1</v>
      </c>
      <c r="E63" s="401" t="str">
        <f t="shared" si="16"/>
        <v>#VALUE!</v>
      </c>
      <c r="F63" s="401" t="str">
        <f t="shared" si="16"/>
        <v>#DIV/0!</v>
      </c>
      <c r="G63" s="401" t="str">
        <f t="shared" si="16"/>
        <v>#VALUE!</v>
      </c>
      <c r="J63" s="401" t="str">
        <f t="shared" ref="J63:V63" si="17">J53/J43</f>
        <v>#DIV/0!</v>
      </c>
      <c r="K63" s="401" t="str">
        <f t="shared" si="17"/>
        <v>#DIV/0!</v>
      </c>
      <c r="L63" s="401" t="str">
        <f t="shared" si="17"/>
        <v>#DIV/0!</v>
      </c>
      <c r="M63" s="401" t="str">
        <f t="shared" si="17"/>
        <v>#DIV/0!</v>
      </c>
      <c r="N63" s="401" t="str">
        <f t="shared" si="17"/>
        <v>#DIV/0!</v>
      </c>
      <c r="O63" s="401" t="str">
        <f t="shared" si="17"/>
        <v>#DIV/0!</v>
      </c>
      <c r="P63" s="401" t="str">
        <f t="shared" si="17"/>
        <v>#DIV/0!</v>
      </c>
      <c r="Q63" s="401" t="str">
        <f t="shared" si="17"/>
        <v>#DIV/0!</v>
      </c>
      <c r="R63" s="401" t="str">
        <f t="shared" si="17"/>
        <v>#DIV/0!</v>
      </c>
      <c r="S63" s="401" t="str">
        <f t="shared" si="17"/>
        <v>#DIV/0!</v>
      </c>
      <c r="T63" s="401" t="str">
        <f t="shared" si="17"/>
        <v>#DIV/0!</v>
      </c>
      <c r="U63" s="401" t="str">
        <f t="shared" si="17"/>
        <v>#DIV/0!</v>
      </c>
      <c r="V63" s="401" t="str">
        <f t="shared" si="17"/>
        <v>#DIV/0!</v>
      </c>
    </row>
    <row r="64">
      <c r="A64" s="409" t="s">
        <v>589</v>
      </c>
      <c r="B64" s="401">
        <f t="shared" ref="B64:G64" si="18">B54/B44</f>
        <v>1</v>
      </c>
      <c r="C64" s="401">
        <f t="shared" si="18"/>
        <v>0</v>
      </c>
      <c r="D64" s="401" t="str">
        <f t="shared" si="18"/>
        <v>#VALUE!</v>
      </c>
      <c r="E64" s="401">
        <f t="shared" si="18"/>
        <v>1</v>
      </c>
      <c r="F64" s="401" t="str">
        <f t="shared" si="18"/>
        <v>#DIV/0!</v>
      </c>
      <c r="G64" s="401">
        <f t="shared" si="18"/>
        <v>0.2857142857</v>
      </c>
      <c r="J64" s="401" t="str">
        <f t="shared" ref="J64:V64" si="19">J54/J44</f>
        <v>#DIV/0!</v>
      </c>
      <c r="K64" s="401" t="str">
        <f t="shared" si="19"/>
        <v>#DIV/0!</v>
      </c>
      <c r="L64" s="401" t="str">
        <f t="shared" si="19"/>
        <v>#DIV/0!</v>
      </c>
      <c r="M64" s="401" t="str">
        <f t="shared" si="19"/>
        <v>#DIV/0!</v>
      </c>
      <c r="N64" s="401" t="str">
        <f t="shared" si="19"/>
        <v>#DIV/0!</v>
      </c>
      <c r="O64" s="401" t="str">
        <f t="shared" si="19"/>
        <v>#DIV/0!</v>
      </c>
      <c r="P64" s="401" t="str">
        <f t="shared" si="19"/>
        <v>#DIV/0!</v>
      </c>
      <c r="Q64" s="401" t="str">
        <f t="shared" si="19"/>
        <v>#DIV/0!</v>
      </c>
      <c r="R64" s="401" t="str">
        <f t="shared" si="19"/>
        <v>#DIV/0!</v>
      </c>
      <c r="S64" s="401" t="str">
        <f t="shared" si="19"/>
        <v>#DIV/0!</v>
      </c>
      <c r="T64" s="401" t="str">
        <f t="shared" si="19"/>
        <v>#DIV/0!</v>
      </c>
      <c r="U64" s="401" t="str">
        <f t="shared" si="19"/>
        <v>#DIV/0!</v>
      </c>
      <c r="V64" s="401" t="str">
        <f t="shared" si="19"/>
        <v>#DIV/0!</v>
      </c>
    </row>
    <row r="65">
      <c r="A65" s="126" t="s">
        <v>591</v>
      </c>
      <c r="B65" s="410"/>
      <c r="C65" s="403"/>
      <c r="D65" s="403"/>
      <c r="E65" s="403"/>
      <c r="F65" s="403"/>
      <c r="G65" s="403"/>
      <c r="H65" s="403"/>
      <c r="I65" s="403"/>
      <c r="J65" s="403"/>
      <c r="K65" s="403"/>
      <c r="L65" s="403"/>
      <c r="M65" s="403"/>
      <c r="N65" s="403"/>
      <c r="O65" s="403"/>
      <c r="P65" s="403"/>
      <c r="Q65" s="403"/>
      <c r="R65" s="403"/>
      <c r="S65" s="403"/>
      <c r="T65" s="403"/>
      <c r="U65" s="403"/>
      <c r="V65" s="411"/>
      <c r="W65" s="403"/>
      <c r="X65" s="403"/>
      <c r="Y65" s="403"/>
      <c r="Z65" s="403"/>
      <c r="AA65" s="403"/>
      <c r="AB65" s="403"/>
      <c r="AC65" s="403"/>
      <c r="AD65" s="403"/>
      <c r="AE65" s="403"/>
      <c r="AF65" s="403"/>
      <c r="AG65" s="403"/>
      <c r="AH65" s="403"/>
      <c r="AI65" s="403"/>
      <c r="AJ65" s="403"/>
      <c r="AK65" s="403"/>
      <c r="AL65" s="403"/>
      <c r="AM65" s="403"/>
      <c r="AN65" s="403"/>
    </row>
    <row r="66">
      <c r="A66" s="412" t="s">
        <v>22</v>
      </c>
      <c r="B66" s="413">
        <v>57.0</v>
      </c>
      <c r="C66" s="199">
        <v>76.0</v>
      </c>
      <c r="D66" s="199">
        <v>50.0</v>
      </c>
      <c r="E66" s="199">
        <v>53.0</v>
      </c>
      <c r="F66" s="199">
        <v>39.0</v>
      </c>
      <c r="G66" s="199">
        <v>51.0</v>
      </c>
      <c r="H66" s="199">
        <v>57.0</v>
      </c>
      <c r="I66" s="199"/>
      <c r="S66" s="199">
        <v>26.0</v>
      </c>
      <c r="V66" s="414">
        <v>34.0</v>
      </c>
      <c r="W66" s="199">
        <v>29.0</v>
      </c>
    </row>
    <row r="67">
      <c r="A67" s="412" t="s">
        <v>23</v>
      </c>
      <c r="B67" s="413">
        <v>8.0</v>
      </c>
      <c r="C67" s="199">
        <v>3.0</v>
      </c>
      <c r="D67" s="199">
        <v>2.0</v>
      </c>
      <c r="E67" s="199">
        <v>2.0</v>
      </c>
      <c r="F67" s="199">
        <v>0.0</v>
      </c>
      <c r="G67" s="199">
        <v>13.0</v>
      </c>
      <c r="H67" s="199">
        <v>3.0</v>
      </c>
      <c r="I67" s="199"/>
      <c r="S67" s="199">
        <v>3.0</v>
      </c>
      <c r="V67" s="414">
        <v>0.0</v>
      </c>
    </row>
    <row r="68">
      <c r="A68" s="412" t="s">
        <v>592</v>
      </c>
      <c r="B68" s="413">
        <v>65.0</v>
      </c>
      <c r="C68" s="199">
        <v>79.0</v>
      </c>
      <c r="D68" s="199">
        <v>52.0</v>
      </c>
      <c r="E68" s="199">
        <v>55.0</v>
      </c>
      <c r="F68" s="199">
        <v>39.0</v>
      </c>
      <c r="G68" s="199">
        <v>64.0</v>
      </c>
      <c r="H68" s="199">
        <v>60.0</v>
      </c>
      <c r="I68" s="199"/>
      <c r="S68" s="199">
        <v>29.0</v>
      </c>
      <c r="V68" s="414">
        <v>34.0</v>
      </c>
    </row>
    <row r="69">
      <c r="A69" s="412" t="s">
        <v>593</v>
      </c>
      <c r="B69" s="413">
        <v>49.0</v>
      </c>
      <c r="C69" s="199">
        <v>45.0</v>
      </c>
      <c r="D69" s="199">
        <v>52.0</v>
      </c>
      <c r="E69" s="199">
        <v>55.0</v>
      </c>
      <c r="F69" s="199">
        <v>39.0</v>
      </c>
      <c r="G69" s="199">
        <v>54.0</v>
      </c>
      <c r="H69" s="199">
        <v>60.0</v>
      </c>
      <c r="I69" s="199"/>
      <c r="S69" s="199">
        <v>26.0</v>
      </c>
      <c r="V69" s="414">
        <v>34.0</v>
      </c>
    </row>
    <row r="70">
      <c r="A70" s="412" t="s">
        <v>37</v>
      </c>
      <c r="B70" s="415">
        <f t="shared" ref="B70:H70" si="20">B69/B66</f>
        <v>0.8596491228</v>
      </c>
      <c r="C70" s="415">
        <f t="shared" si="20"/>
        <v>0.5921052632</v>
      </c>
      <c r="D70" s="415">
        <f t="shared" si="20"/>
        <v>1.04</v>
      </c>
      <c r="E70" s="415">
        <f t="shared" si="20"/>
        <v>1.037735849</v>
      </c>
      <c r="F70" s="415">
        <f t="shared" si="20"/>
        <v>1</v>
      </c>
      <c r="G70" s="415">
        <f t="shared" si="20"/>
        <v>1.058823529</v>
      </c>
      <c r="H70" s="415">
        <f t="shared" si="20"/>
        <v>1.052631579</v>
      </c>
      <c r="I70" s="415"/>
      <c r="V70" s="31"/>
    </row>
    <row r="71">
      <c r="A71" s="126" t="s">
        <v>225</v>
      </c>
      <c r="B71" s="410"/>
      <c r="C71" s="403"/>
      <c r="D71" s="403"/>
      <c r="E71" s="403"/>
      <c r="F71" s="403"/>
      <c r="G71" s="403"/>
      <c r="H71" s="403"/>
      <c r="I71" s="403"/>
      <c r="J71" s="403"/>
      <c r="K71" s="403"/>
      <c r="L71" s="403"/>
      <c r="M71" s="403"/>
      <c r="N71" s="403"/>
      <c r="O71" s="403"/>
      <c r="P71" s="403"/>
      <c r="Q71" s="403"/>
      <c r="R71" s="403"/>
      <c r="S71" s="403"/>
      <c r="T71" s="403"/>
      <c r="U71" s="403"/>
      <c r="V71" s="411"/>
      <c r="W71" s="416">
        <v>50.0</v>
      </c>
      <c r="X71" s="403"/>
      <c r="Y71" s="403"/>
      <c r="Z71" s="403"/>
      <c r="AA71" s="403"/>
      <c r="AB71" s="403"/>
      <c r="AC71" s="403"/>
      <c r="AD71" s="403"/>
      <c r="AE71" s="403"/>
      <c r="AF71" s="403"/>
      <c r="AG71" s="403"/>
      <c r="AH71" s="403"/>
      <c r="AI71" s="403"/>
      <c r="AJ71" s="403"/>
      <c r="AK71" s="403"/>
      <c r="AL71" s="403"/>
      <c r="AM71" s="403"/>
      <c r="AN71" s="403"/>
    </row>
    <row r="72">
      <c r="B72" s="138"/>
      <c r="V72" s="31"/>
    </row>
    <row r="73">
      <c r="B73" s="138"/>
      <c r="V73" s="31"/>
    </row>
    <row r="74">
      <c r="B74" s="138"/>
      <c r="V74" s="31"/>
    </row>
    <row r="75">
      <c r="B75" s="138"/>
      <c r="V75" s="31"/>
    </row>
    <row r="76">
      <c r="B76" s="138"/>
      <c r="V76" s="31"/>
    </row>
    <row r="77">
      <c r="B77" s="138"/>
      <c r="V77" s="31"/>
    </row>
    <row r="78">
      <c r="B78" s="138"/>
      <c r="V78" s="31"/>
    </row>
    <row r="79">
      <c r="B79" s="138"/>
      <c r="V79" s="31"/>
    </row>
    <row r="80">
      <c r="B80" s="138"/>
      <c r="V80" s="31"/>
    </row>
    <row r="81">
      <c r="B81" s="138"/>
      <c r="V81" s="31"/>
    </row>
    <row r="82">
      <c r="B82" s="138"/>
      <c r="V82" s="31"/>
    </row>
    <row r="83">
      <c r="B83" s="138"/>
      <c r="V83" s="31"/>
    </row>
    <row r="84">
      <c r="B84" s="138"/>
      <c r="V84" s="31"/>
    </row>
    <row r="85">
      <c r="B85" s="138"/>
      <c r="V85" s="31"/>
    </row>
    <row r="86">
      <c r="B86" s="138"/>
      <c r="V86" s="31"/>
    </row>
    <row r="87">
      <c r="B87" s="138"/>
      <c r="V87" s="31"/>
    </row>
    <row r="88">
      <c r="B88" s="138"/>
      <c r="V88" s="31"/>
    </row>
    <row r="89">
      <c r="B89" s="138"/>
      <c r="V89" s="31"/>
    </row>
    <row r="90">
      <c r="B90" s="138"/>
      <c r="V90" s="31"/>
    </row>
    <row r="91">
      <c r="B91" s="138"/>
      <c r="V91" s="31"/>
    </row>
    <row r="92">
      <c r="B92" s="138"/>
      <c r="V92" s="31"/>
    </row>
    <row r="93">
      <c r="B93" s="138"/>
      <c r="V93" s="31"/>
    </row>
    <row r="94">
      <c r="B94" s="138"/>
      <c r="V94" s="31"/>
    </row>
    <row r="95">
      <c r="B95" s="138"/>
      <c r="V95" s="31"/>
    </row>
    <row r="96">
      <c r="B96" s="138"/>
      <c r="V96" s="31"/>
    </row>
    <row r="97">
      <c r="B97" s="138"/>
      <c r="V97" s="31"/>
    </row>
    <row r="98">
      <c r="B98" s="138"/>
      <c r="V98" s="31"/>
    </row>
    <row r="99">
      <c r="B99" s="138"/>
      <c r="V99" s="31"/>
    </row>
    <row r="100">
      <c r="B100" s="138"/>
      <c r="V100" s="31"/>
    </row>
    <row r="101">
      <c r="B101" s="138"/>
      <c r="V101" s="31"/>
    </row>
    <row r="102">
      <c r="B102" s="138"/>
      <c r="V102" s="31"/>
    </row>
    <row r="103">
      <c r="B103" s="138"/>
      <c r="V103" s="31"/>
    </row>
    <row r="104">
      <c r="B104" s="138"/>
      <c r="V104" s="31"/>
    </row>
    <row r="105">
      <c r="B105" s="138"/>
      <c r="V105" s="31"/>
    </row>
    <row r="106">
      <c r="B106" s="138"/>
      <c r="V106" s="31"/>
    </row>
    <row r="107">
      <c r="B107" s="138"/>
      <c r="V107" s="31"/>
    </row>
    <row r="108">
      <c r="B108" s="138"/>
      <c r="V108" s="31"/>
    </row>
    <row r="109">
      <c r="B109" s="138"/>
      <c r="V109" s="31"/>
    </row>
    <row r="110">
      <c r="B110" s="138"/>
      <c r="V110" s="31"/>
    </row>
    <row r="111">
      <c r="B111" s="138"/>
      <c r="V111" s="31"/>
    </row>
    <row r="112">
      <c r="B112" s="138"/>
      <c r="V112" s="31"/>
    </row>
    <row r="113">
      <c r="B113" s="138"/>
      <c r="V113" s="31"/>
    </row>
    <row r="114">
      <c r="B114" s="138"/>
      <c r="V114" s="31"/>
    </row>
    <row r="115">
      <c r="B115" s="138"/>
      <c r="V115" s="31"/>
    </row>
    <row r="116">
      <c r="B116" s="138"/>
      <c r="V116" s="31"/>
    </row>
    <row r="117">
      <c r="B117" s="138"/>
      <c r="V117" s="31"/>
    </row>
    <row r="118">
      <c r="B118" s="138"/>
      <c r="V118" s="31"/>
    </row>
    <row r="119">
      <c r="B119" s="138"/>
      <c r="V119" s="31"/>
    </row>
    <row r="120">
      <c r="B120" s="138"/>
      <c r="V120" s="31"/>
    </row>
    <row r="121">
      <c r="B121" s="138"/>
      <c r="V121" s="31"/>
    </row>
    <row r="122">
      <c r="B122" s="138"/>
      <c r="V122" s="31"/>
    </row>
    <row r="123">
      <c r="B123" s="138"/>
      <c r="V123" s="31"/>
    </row>
    <row r="124">
      <c r="B124" s="138"/>
      <c r="V124" s="31"/>
    </row>
    <row r="125">
      <c r="B125" s="138"/>
      <c r="V125" s="31"/>
    </row>
    <row r="126">
      <c r="B126" s="138"/>
      <c r="V126" s="31"/>
    </row>
    <row r="127">
      <c r="B127" s="138"/>
      <c r="V127" s="31"/>
    </row>
    <row r="128">
      <c r="B128" s="138"/>
      <c r="V128" s="31"/>
    </row>
    <row r="129">
      <c r="B129" s="138"/>
      <c r="V129" s="31"/>
    </row>
    <row r="130">
      <c r="B130" s="138"/>
      <c r="V130" s="31"/>
    </row>
    <row r="131">
      <c r="B131" s="138"/>
      <c r="V131" s="31"/>
    </row>
    <row r="132">
      <c r="B132" s="138"/>
      <c r="V132" s="31"/>
    </row>
    <row r="133">
      <c r="B133" s="138"/>
      <c r="V133" s="31"/>
    </row>
    <row r="134">
      <c r="B134" s="138"/>
      <c r="V134" s="31"/>
    </row>
    <row r="135">
      <c r="B135" s="138"/>
      <c r="V135" s="31"/>
    </row>
    <row r="136">
      <c r="B136" s="138"/>
      <c r="V136" s="31"/>
    </row>
    <row r="137">
      <c r="B137" s="138"/>
      <c r="V137" s="31"/>
    </row>
    <row r="138">
      <c r="B138" s="138"/>
      <c r="V138" s="31"/>
    </row>
    <row r="139">
      <c r="B139" s="138"/>
      <c r="V139" s="31"/>
    </row>
    <row r="140">
      <c r="B140" s="138"/>
      <c r="V140" s="31"/>
    </row>
    <row r="141">
      <c r="B141" s="138"/>
      <c r="V141" s="31"/>
    </row>
    <row r="142">
      <c r="B142" s="138"/>
      <c r="V142" s="31"/>
    </row>
    <row r="143">
      <c r="B143" s="138"/>
      <c r="V143" s="31"/>
    </row>
    <row r="144">
      <c r="B144" s="138"/>
      <c r="V144" s="31"/>
    </row>
    <row r="145">
      <c r="B145" s="138"/>
      <c r="V145" s="31"/>
    </row>
    <row r="146">
      <c r="B146" s="138"/>
      <c r="V146" s="31"/>
    </row>
    <row r="147">
      <c r="B147" s="138"/>
      <c r="V147" s="31"/>
    </row>
    <row r="148">
      <c r="B148" s="138"/>
      <c r="V148" s="31"/>
    </row>
    <row r="149">
      <c r="B149" s="138"/>
      <c r="V149" s="31"/>
    </row>
    <row r="150">
      <c r="B150" s="138"/>
      <c r="V150" s="31"/>
    </row>
    <row r="151">
      <c r="B151" s="138"/>
      <c r="V151" s="31"/>
    </row>
    <row r="152">
      <c r="B152" s="138"/>
      <c r="V152" s="31"/>
    </row>
    <row r="153">
      <c r="B153" s="138"/>
      <c r="V153" s="31"/>
    </row>
    <row r="154">
      <c r="B154" s="138"/>
      <c r="V154" s="31"/>
    </row>
    <row r="155">
      <c r="B155" s="138"/>
      <c r="V155" s="31"/>
    </row>
    <row r="156">
      <c r="B156" s="138"/>
      <c r="V156" s="31"/>
    </row>
    <row r="157">
      <c r="B157" s="138"/>
      <c r="V157" s="31"/>
    </row>
    <row r="158">
      <c r="B158" s="138"/>
      <c r="V158" s="31"/>
    </row>
    <row r="159">
      <c r="B159" s="138"/>
      <c r="V159" s="31"/>
    </row>
    <row r="160">
      <c r="B160" s="138"/>
      <c r="V160" s="31"/>
    </row>
    <row r="161">
      <c r="B161" s="138"/>
      <c r="V161" s="31"/>
    </row>
    <row r="162">
      <c r="B162" s="138"/>
      <c r="V162" s="31"/>
    </row>
    <row r="163">
      <c r="B163" s="138"/>
      <c r="V163" s="31"/>
    </row>
    <row r="164">
      <c r="B164" s="138"/>
      <c r="V164" s="31"/>
    </row>
    <row r="165">
      <c r="B165" s="138"/>
      <c r="V165" s="31"/>
    </row>
    <row r="166">
      <c r="B166" s="138"/>
      <c r="V166" s="31"/>
    </row>
    <row r="167">
      <c r="B167" s="138"/>
      <c r="V167" s="31"/>
    </row>
    <row r="168">
      <c r="B168" s="138"/>
      <c r="V168" s="31"/>
    </row>
    <row r="169">
      <c r="B169" s="138"/>
      <c r="V169" s="31"/>
    </row>
    <row r="170">
      <c r="B170" s="138"/>
      <c r="V170" s="31"/>
    </row>
    <row r="171">
      <c r="B171" s="138"/>
      <c r="V171" s="31"/>
    </row>
    <row r="172">
      <c r="B172" s="138"/>
      <c r="V172" s="31"/>
    </row>
    <row r="173">
      <c r="B173" s="138"/>
      <c r="V173" s="31"/>
    </row>
    <row r="174">
      <c r="B174" s="138"/>
      <c r="V174" s="31"/>
    </row>
    <row r="175">
      <c r="B175" s="138"/>
      <c r="V175" s="31"/>
    </row>
    <row r="176">
      <c r="B176" s="138"/>
      <c r="V176" s="31"/>
    </row>
    <row r="177">
      <c r="B177" s="138"/>
      <c r="V177" s="31"/>
    </row>
    <row r="178">
      <c r="B178" s="138"/>
      <c r="V178" s="31"/>
    </row>
    <row r="179">
      <c r="B179" s="138"/>
      <c r="V179" s="31"/>
    </row>
    <row r="180">
      <c r="B180" s="138"/>
      <c r="V180" s="31"/>
    </row>
    <row r="181">
      <c r="B181" s="138"/>
      <c r="V181" s="31"/>
    </row>
    <row r="182">
      <c r="B182" s="138"/>
      <c r="V182" s="31"/>
    </row>
    <row r="183">
      <c r="B183" s="138"/>
      <c r="V183" s="31"/>
    </row>
    <row r="184">
      <c r="B184" s="138"/>
      <c r="V184" s="31"/>
    </row>
    <row r="185">
      <c r="B185" s="138"/>
      <c r="V185" s="31"/>
    </row>
    <row r="186">
      <c r="B186" s="138"/>
      <c r="V186" s="31"/>
    </row>
    <row r="187">
      <c r="B187" s="138"/>
      <c r="V187" s="31"/>
    </row>
    <row r="188">
      <c r="B188" s="138"/>
      <c r="V188" s="31"/>
    </row>
    <row r="189">
      <c r="B189" s="138"/>
      <c r="V189" s="31"/>
    </row>
    <row r="190">
      <c r="B190" s="138"/>
      <c r="V190" s="31"/>
    </row>
    <row r="191">
      <c r="B191" s="138"/>
      <c r="V191" s="31"/>
    </row>
    <row r="192">
      <c r="B192" s="138"/>
      <c r="V192" s="31"/>
    </row>
    <row r="193">
      <c r="B193" s="138"/>
      <c r="V193" s="31"/>
    </row>
    <row r="194">
      <c r="B194" s="138"/>
      <c r="V194" s="31"/>
    </row>
    <row r="195">
      <c r="B195" s="138"/>
      <c r="V195" s="31"/>
    </row>
    <row r="196">
      <c r="B196" s="138"/>
      <c r="V196" s="31"/>
    </row>
    <row r="197">
      <c r="B197" s="138"/>
      <c r="V197" s="31"/>
    </row>
    <row r="198">
      <c r="B198" s="138"/>
      <c r="V198" s="31"/>
    </row>
    <row r="199">
      <c r="B199" s="138"/>
      <c r="V199" s="31"/>
    </row>
    <row r="200">
      <c r="B200" s="138"/>
      <c r="V200" s="31"/>
    </row>
    <row r="201">
      <c r="B201" s="138"/>
      <c r="V201" s="31"/>
    </row>
    <row r="202">
      <c r="B202" s="138"/>
      <c r="V202" s="31"/>
    </row>
    <row r="203">
      <c r="B203" s="138"/>
      <c r="V203" s="31"/>
    </row>
    <row r="204">
      <c r="B204" s="138"/>
      <c r="V204" s="31"/>
    </row>
    <row r="205">
      <c r="B205" s="138"/>
      <c r="V205" s="31"/>
    </row>
    <row r="206">
      <c r="B206" s="138"/>
      <c r="V206" s="31"/>
    </row>
    <row r="207">
      <c r="B207" s="138"/>
      <c r="V207" s="31"/>
    </row>
    <row r="208">
      <c r="B208" s="138"/>
      <c r="V208" s="31"/>
    </row>
    <row r="209">
      <c r="B209" s="138"/>
      <c r="V209" s="31"/>
    </row>
    <row r="210">
      <c r="B210" s="138"/>
      <c r="V210" s="31"/>
    </row>
    <row r="211">
      <c r="B211" s="138"/>
      <c r="V211" s="31"/>
    </row>
    <row r="212">
      <c r="B212" s="138"/>
      <c r="V212" s="31"/>
    </row>
    <row r="213">
      <c r="B213" s="138"/>
      <c r="V213" s="31"/>
    </row>
    <row r="214">
      <c r="B214" s="138"/>
      <c r="V214" s="31"/>
    </row>
    <row r="215">
      <c r="B215" s="138"/>
      <c r="V215" s="31"/>
    </row>
    <row r="216">
      <c r="B216" s="138"/>
      <c r="V216" s="31"/>
    </row>
    <row r="217">
      <c r="B217" s="138"/>
      <c r="V217" s="31"/>
    </row>
    <row r="218">
      <c r="B218" s="138"/>
      <c r="V218" s="31"/>
    </row>
    <row r="219">
      <c r="B219" s="138"/>
      <c r="V219" s="31"/>
    </row>
    <row r="220">
      <c r="B220" s="138"/>
      <c r="V220" s="31"/>
    </row>
    <row r="221">
      <c r="B221" s="138"/>
      <c r="V221" s="31"/>
    </row>
    <row r="222">
      <c r="B222" s="138"/>
      <c r="V222" s="31"/>
    </row>
    <row r="223">
      <c r="B223" s="138"/>
      <c r="V223" s="31"/>
    </row>
    <row r="224">
      <c r="B224" s="138"/>
      <c r="V224" s="31"/>
    </row>
    <row r="225">
      <c r="B225" s="138"/>
      <c r="V225" s="31"/>
    </row>
    <row r="226">
      <c r="B226" s="138"/>
      <c r="V226" s="31"/>
    </row>
    <row r="227">
      <c r="B227" s="138"/>
      <c r="V227" s="31"/>
    </row>
    <row r="228">
      <c r="B228" s="138"/>
      <c r="V228" s="31"/>
    </row>
    <row r="229">
      <c r="B229" s="138"/>
      <c r="V229" s="31"/>
    </row>
    <row r="230">
      <c r="B230" s="138"/>
      <c r="V230" s="31"/>
    </row>
    <row r="231">
      <c r="B231" s="138"/>
      <c r="V231" s="31"/>
    </row>
    <row r="232">
      <c r="B232" s="138"/>
      <c r="V232" s="31"/>
    </row>
    <row r="233">
      <c r="B233" s="138"/>
      <c r="V233" s="31"/>
    </row>
    <row r="234">
      <c r="B234" s="138"/>
      <c r="V234" s="31"/>
    </row>
    <row r="235">
      <c r="B235" s="138"/>
      <c r="V235" s="31"/>
    </row>
    <row r="236">
      <c r="B236" s="138"/>
      <c r="V236" s="31"/>
    </row>
    <row r="237">
      <c r="B237" s="138"/>
      <c r="V237" s="31"/>
    </row>
    <row r="238">
      <c r="B238" s="138"/>
      <c r="V238" s="31"/>
    </row>
    <row r="239">
      <c r="B239" s="138"/>
      <c r="V239" s="31"/>
    </row>
    <row r="240">
      <c r="B240" s="138"/>
      <c r="V240" s="31"/>
    </row>
    <row r="241">
      <c r="B241" s="138"/>
      <c r="V241" s="31"/>
    </row>
    <row r="242">
      <c r="B242" s="138"/>
      <c r="V242" s="31"/>
    </row>
    <row r="243">
      <c r="B243" s="138"/>
      <c r="V243" s="31"/>
    </row>
    <row r="244">
      <c r="B244" s="138"/>
      <c r="V244" s="31"/>
    </row>
    <row r="245">
      <c r="B245" s="138"/>
      <c r="V245" s="31"/>
    </row>
    <row r="246">
      <c r="B246" s="138"/>
      <c r="V246" s="31"/>
    </row>
    <row r="247">
      <c r="B247" s="138"/>
      <c r="V247" s="31"/>
    </row>
    <row r="248">
      <c r="B248" s="138"/>
      <c r="V248" s="31"/>
    </row>
    <row r="249">
      <c r="B249" s="138"/>
      <c r="V249" s="31"/>
    </row>
    <row r="250">
      <c r="B250" s="138"/>
      <c r="V250" s="31"/>
    </row>
    <row r="251">
      <c r="B251" s="138"/>
      <c r="V251" s="31"/>
    </row>
    <row r="252">
      <c r="B252" s="138"/>
      <c r="V252" s="31"/>
    </row>
    <row r="253">
      <c r="B253" s="138"/>
      <c r="V253" s="31"/>
    </row>
    <row r="254">
      <c r="B254" s="138"/>
      <c r="V254" s="31"/>
    </row>
    <row r="255">
      <c r="B255" s="138"/>
      <c r="V255" s="31"/>
    </row>
    <row r="256">
      <c r="B256" s="138"/>
      <c r="V256" s="31"/>
    </row>
    <row r="257">
      <c r="B257" s="138"/>
      <c r="V257" s="31"/>
    </row>
    <row r="258">
      <c r="B258" s="138"/>
      <c r="V258" s="31"/>
    </row>
    <row r="259">
      <c r="B259" s="138"/>
      <c r="V259" s="31"/>
    </row>
    <row r="260">
      <c r="B260" s="138"/>
      <c r="V260" s="31"/>
    </row>
    <row r="261">
      <c r="B261" s="138"/>
      <c r="V261" s="31"/>
    </row>
    <row r="262">
      <c r="B262" s="138"/>
      <c r="V262" s="31"/>
    </row>
    <row r="263">
      <c r="B263" s="138"/>
      <c r="V263" s="31"/>
    </row>
    <row r="264">
      <c r="B264" s="138"/>
      <c r="V264" s="31"/>
    </row>
    <row r="265">
      <c r="B265" s="138"/>
      <c r="V265" s="31"/>
    </row>
    <row r="266">
      <c r="B266" s="138"/>
      <c r="V266" s="31"/>
    </row>
    <row r="267">
      <c r="B267" s="138"/>
      <c r="V267" s="31"/>
    </row>
    <row r="268">
      <c r="B268" s="138"/>
      <c r="V268" s="31"/>
    </row>
    <row r="269">
      <c r="B269" s="138"/>
      <c r="V269" s="31"/>
    </row>
    <row r="270">
      <c r="B270" s="138"/>
      <c r="V270" s="31"/>
    </row>
    <row r="271">
      <c r="B271" s="138"/>
      <c r="V271" s="31"/>
    </row>
    <row r="272">
      <c r="B272" s="138"/>
      <c r="V272" s="31"/>
    </row>
    <row r="273">
      <c r="B273" s="138"/>
      <c r="V273" s="31"/>
    </row>
    <row r="274">
      <c r="B274" s="138"/>
      <c r="V274" s="31"/>
    </row>
    <row r="275">
      <c r="B275" s="138"/>
      <c r="V275" s="31"/>
    </row>
    <row r="276">
      <c r="B276" s="138"/>
      <c r="V276" s="31"/>
    </row>
    <row r="277">
      <c r="B277" s="138"/>
      <c r="V277" s="31"/>
    </row>
    <row r="278">
      <c r="B278" s="138"/>
      <c r="V278" s="31"/>
    </row>
    <row r="279">
      <c r="B279" s="138"/>
      <c r="V279" s="31"/>
    </row>
    <row r="280">
      <c r="B280" s="138"/>
      <c r="V280" s="31"/>
    </row>
    <row r="281">
      <c r="B281" s="138"/>
      <c r="V281" s="31"/>
    </row>
    <row r="282">
      <c r="B282" s="138"/>
      <c r="V282" s="31"/>
    </row>
    <row r="283">
      <c r="B283" s="138"/>
      <c r="V283" s="31"/>
    </row>
    <row r="284">
      <c r="B284" s="138"/>
      <c r="V284" s="31"/>
    </row>
    <row r="285">
      <c r="B285" s="138"/>
      <c r="V285" s="31"/>
    </row>
    <row r="286">
      <c r="B286" s="138"/>
      <c r="V286" s="31"/>
    </row>
    <row r="287">
      <c r="B287" s="138"/>
      <c r="V287" s="31"/>
    </row>
    <row r="288">
      <c r="B288" s="138"/>
      <c r="V288" s="31"/>
    </row>
    <row r="289">
      <c r="B289" s="138"/>
      <c r="V289" s="31"/>
    </row>
    <row r="290">
      <c r="B290" s="138"/>
      <c r="V290" s="31"/>
    </row>
    <row r="291">
      <c r="B291" s="138"/>
      <c r="V291" s="31"/>
    </row>
    <row r="292">
      <c r="B292" s="138"/>
      <c r="V292" s="31"/>
    </row>
    <row r="293">
      <c r="B293" s="138"/>
      <c r="V293" s="31"/>
    </row>
    <row r="294">
      <c r="B294" s="138"/>
      <c r="V294" s="31"/>
    </row>
    <row r="295">
      <c r="B295" s="138"/>
      <c r="V295" s="31"/>
    </row>
    <row r="296">
      <c r="B296" s="138"/>
      <c r="V296" s="31"/>
    </row>
    <row r="297">
      <c r="B297" s="138"/>
      <c r="V297" s="31"/>
    </row>
    <row r="298">
      <c r="B298" s="138"/>
      <c r="V298" s="31"/>
    </row>
    <row r="299">
      <c r="B299" s="138"/>
      <c r="V299" s="31"/>
    </row>
    <row r="300">
      <c r="B300" s="138"/>
      <c r="V300" s="31"/>
    </row>
    <row r="301">
      <c r="B301" s="138"/>
      <c r="V301" s="31"/>
    </row>
    <row r="302">
      <c r="B302" s="138"/>
      <c r="V302" s="31"/>
    </row>
    <row r="303">
      <c r="B303" s="138"/>
      <c r="V303" s="31"/>
    </row>
    <row r="304">
      <c r="B304" s="138"/>
      <c r="V304" s="31"/>
    </row>
    <row r="305">
      <c r="B305" s="138"/>
      <c r="V305" s="31"/>
    </row>
    <row r="306">
      <c r="B306" s="138"/>
      <c r="V306" s="31"/>
    </row>
    <row r="307">
      <c r="B307" s="138"/>
      <c r="V307" s="31"/>
    </row>
    <row r="308">
      <c r="B308" s="138"/>
      <c r="V308" s="31"/>
    </row>
    <row r="309">
      <c r="B309" s="138"/>
      <c r="V309" s="31"/>
    </row>
    <row r="310">
      <c r="B310" s="138"/>
      <c r="V310" s="31"/>
    </row>
    <row r="311">
      <c r="B311" s="138"/>
      <c r="V311" s="31"/>
    </row>
    <row r="312">
      <c r="B312" s="138"/>
      <c r="V312" s="31"/>
    </row>
    <row r="313">
      <c r="B313" s="138"/>
      <c r="V313" s="31"/>
    </row>
    <row r="314">
      <c r="B314" s="138"/>
      <c r="V314" s="31"/>
    </row>
    <row r="315">
      <c r="B315" s="138"/>
      <c r="V315" s="31"/>
    </row>
    <row r="316">
      <c r="B316" s="138"/>
      <c r="V316" s="31"/>
    </row>
    <row r="317">
      <c r="B317" s="138"/>
      <c r="V317" s="31"/>
    </row>
    <row r="318">
      <c r="B318" s="138"/>
      <c r="V318" s="31"/>
    </row>
    <row r="319">
      <c r="B319" s="138"/>
      <c r="V319" s="31"/>
    </row>
    <row r="320">
      <c r="B320" s="138"/>
      <c r="V320" s="31"/>
    </row>
    <row r="321">
      <c r="B321" s="138"/>
      <c r="V321" s="31"/>
    </row>
    <row r="322">
      <c r="B322" s="138"/>
      <c r="V322" s="31"/>
    </row>
    <row r="323">
      <c r="B323" s="138"/>
      <c r="V323" s="31"/>
    </row>
    <row r="324">
      <c r="B324" s="138"/>
      <c r="V324" s="31"/>
    </row>
    <row r="325">
      <c r="B325" s="138"/>
      <c r="V325" s="31"/>
    </row>
    <row r="326">
      <c r="B326" s="138"/>
      <c r="V326" s="31"/>
    </row>
    <row r="327">
      <c r="B327" s="138"/>
      <c r="V327" s="31"/>
    </row>
    <row r="328">
      <c r="B328" s="138"/>
      <c r="V328" s="31"/>
    </row>
    <row r="329">
      <c r="B329" s="138"/>
      <c r="V329" s="31"/>
    </row>
    <row r="330">
      <c r="B330" s="138"/>
      <c r="V330" s="31"/>
    </row>
    <row r="331">
      <c r="B331" s="138"/>
      <c r="V331" s="31"/>
    </row>
    <row r="332">
      <c r="B332" s="138"/>
      <c r="V332" s="31"/>
    </row>
    <row r="333">
      <c r="B333" s="138"/>
      <c r="V333" s="31"/>
    </row>
    <row r="334">
      <c r="B334" s="138"/>
      <c r="V334" s="31"/>
    </row>
    <row r="335">
      <c r="B335" s="138"/>
      <c r="V335" s="31"/>
    </row>
    <row r="336">
      <c r="B336" s="138"/>
      <c r="V336" s="31"/>
    </row>
    <row r="337">
      <c r="B337" s="138"/>
      <c r="V337" s="31"/>
    </row>
    <row r="338">
      <c r="B338" s="138"/>
      <c r="V338" s="31"/>
    </row>
    <row r="339">
      <c r="B339" s="138"/>
      <c r="V339" s="31"/>
    </row>
    <row r="340">
      <c r="B340" s="138"/>
      <c r="V340" s="31"/>
    </row>
    <row r="341">
      <c r="B341" s="138"/>
      <c r="V341" s="31"/>
    </row>
    <row r="342">
      <c r="B342" s="138"/>
      <c r="V342" s="31"/>
    </row>
    <row r="343">
      <c r="B343" s="138"/>
      <c r="V343" s="31"/>
    </row>
    <row r="344">
      <c r="B344" s="138"/>
      <c r="V344" s="31"/>
    </row>
    <row r="345">
      <c r="B345" s="138"/>
      <c r="V345" s="31"/>
    </row>
    <row r="346">
      <c r="B346" s="138"/>
      <c r="V346" s="31"/>
    </row>
    <row r="347">
      <c r="B347" s="138"/>
      <c r="V347" s="31"/>
    </row>
    <row r="348">
      <c r="B348" s="138"/>
      <c r="V348" s="31"/>
    </row>
    <row r="349">
      <c r="B349" s="138"/>
      <c r="V349" s="31"/>
    </row>
    <row r="350">
      <c r="B350" s="138"/>
      <c r="V350" s="31"/>
    </row>
    <row r="351">
      <c r="B351" s="138"/>
      <c r="V351" s="31"/>
    </row>
    <row r="352">
      <c r="B352" s="138"/>
      <c r="V352" s="31"/>
    </row>
    <row r="353">
      <c r="B353" s="138"/>
      <c r="V353" s="31"/>
    </row>
    <row r="354">
      <c r="B354" s="138"/>
      <c r="V354" s="31"/>
    </row>
    <row r="355">
      <c r="B355" s="138"/>
      <c r="V355" s="31"/>
    </row>
    <row r="356">
      <c r="B356" s="138"/>
      <c r="V356" s="31"/>
    </row>
    <row r="357">
      <c r="B357" s="138"/>
      <c r="V357" s="31"/>
    </row>
    <row r="358">
      <c r="B358" s="138"/>
      <c r="V358" s="31"/>
    </row>
    <row r="359">
      <c r="B359" s="138"/>
      <c r="V359" s="31"/>
    </row>
    <row r="360">
      <c r="B360" s="138"/>
      <c r="V360" s="31"/>
    </row>
    <row r="361">
      <c r="B361" s="138"/>
      <c r="V361" s="31"/>
    </row>
    <row r="362">
      <c r="B362" s="138"/>
      <c r="V362" s="31"/>
    </row>
    <row r="363">
      <c r="B363" s="138"/>
      <c r="V363" s="31"/>
    </row>
    <row r="364">
      <c r="B364" s="138"/>
      <c r="V364" s="31"/>
    </row>
    <row r="365">
      <c r="B365" s="138"/>
      <c r="V365" s="31"/>
    </row>
    <row r="366">
      <c r="B366" s="138"/>
      <c r="V366" s="31"/>
    </row>
    <row r="367">
      <c r="B367" s="138"/>
      <c r="V367" s="31"/>
    </row>
    <row r="368">
      <c r="B368" s="138"/>
      <c r="V368" s="31"/>
    </row>
    <row r="369">
      <c r="B369" s="138"/>
      <c r="V369" s="31"/>
    </row>
    <row r="370">
      <c r="B370" s="138"/>
      <c r="V370" s="31"/>
    </row>
    <row r="371">
      <c r="B371" s="138"/>
      <c r="V371" s="31"/>
    </row>
    <row r="372">
      <c r="B372" s="138"/>
      <c r="V372" s="31"/>
    </row>
    <row r="373">
      <c r="B373" s="138"/>
      <c r="V373" s="31"/>
    </row>
    <row r="374">
      <c r="B374" s="138"/>
      <c r="V374" s="31"/>
    </row>
    <row r="375">
      <c r="B375" s="138"/>
      <c r="V375" s="31"/>
    </row>
    <row r="376">
      <c r="B376" s="138"/>
      <c r="V376" s="31"/>
    </row>
    <row r="377">
      <c r="B377" s="138"/>
      <c r="V377" s="31"/>
    </row>
    <row r="378">
      <c r="B378" s="138"/>
      <c r="V378" s="31"/>
    </row>
    <row r="379">
      <c r="B379" s="138"/>
      <c r="V379" s="31"/>
    </row>
    <row r="380">
      <c r="B380" s="138"/>
      <c r="V380" s="31"/>
    </row>
    <row r="381">
      <c r="B381" s="138"/>
      <c r="V381" s="31"/>
    </row>
    <row r="382">
      <c r="B382" s="138"/>
      <c r="V382" s="31"/>
    </row>
    <row r="383">
      <c r="B383" s="138"/>
      <c r="V383" s="31"/>
    </row>
    <row r="384">
      <c r="B384" s="138"/>
      <c r="V384" s="31"/>
    </row>
    <row r="385">
      <c r="B385" s="138"/>
      <c r="V385" s="31"/>
    </row>
    <row r="386">
      <c r="B386" s="138"/>
      <c r="V386" s="31"/>
    </row>
    <row r="387">
      <c r="B387" s="138"/>
      <c r="V387" s="31"/>
    </row>
    <row r="388">
      <c r="B388" s="138"/>
      <c r="V388" s="31"/>
    </row>
    <row r="389">
      <c r="B389" s="138"/>
      <c r="V389" s="31"/>
    </row>
    <row r="390">
      <c r="B390" s="138"/>
      <c r="V390" s="31"/>
    </row>
    <row r="391">
      <c r="B391" s="138"/>
      <c r="V391" s="31"/>
    </row>
    <row r="392">
      <c r="B392" s="138"/>
      <c r="V392" s="31"/>
    </row>
    <row r="393">
      <c r="B393" s="138"/>
      <c r="V393" s="31"/>
    </row>
    <row r="394">
      <c r="B394" s="138"/>
      <c r="V394" s="31"/>
    </row>
    <row r="395">
      <c r="B395" s="138"/>
      <c r="V395" s="31"/>
    </row>
    <row r="396">
      <c r="B396" s="138"/>
      <c r="V396" s="31"/>
    </row>
    <row r="397">
      <c r="B397" s="138"/>
      <c r="V397" s="31"/>
    </row>
    <row r="398">
      <c r="B398" s="138"/>
      <c r="V398" s="31"/>
    </row>
    <row r="399">
      <c r="B399" s="138"/>
      <c r="V399" s="31"/>
    </row>
    <row r="400">
      <c r="B400" s="138"/>
      <c r="V400" s="31"/>
    </row>
    <row r="401">
      <c r="B401" s="138"/>
      <c r="V401" s="31"/>
    </row>
    <row r="402">
      <c r="B402" s="138"/>
      <c r="V402" s="31"/>
    </row>
    <row r="403">
      <c r="B403" s="138"/>
      <c r="V403" s="31"/>
    </row>
    <row r="404">
      <c r="B404" s="138"/>
      <c r="V404" s="31"/>
    </row>
    <row r="405">
      <c r="B405" s="138"/>
      <c r="V405" s="31"/>
    </row>
    <row r="406">
      <c r="B406" s="138"/>
      <c r="V406" s="31"/>
    </row>
    <row r="407">
      <c r="B407" s="138"/>
      <c r="V407" s="31"/>
    </row>
    <row r="408">
      <c r="B408" s="138"/>
      <c r="V408" s="31"/>
    </row>
    <row r="409">
      <c r="B409" s="138"/>
      <c r="V409" s="31"/>
    </row>
    <row r="410">
      <c r="B410" s="138"/>
      <c r="V410" s="31"/>
    </row>
    <row r="411">
      <c r="B411" s="138"/>
      <c r="V411" s="31"/>
    </row>
    <row r="412">
      <c r="B412" s="138"/>
      <c r="V412" s="31"/>
    </row>
    <row r="413">
      <c r="B413" s="138"/>
      <c r="V413" s="31"/>
    </row>
    <row r="414">
      <c r="B414" s="138"/>
      <c r="V414" s="31"/>
    </row>
    <row r="415">
      <c r="B415" s="138"/>
      <c r="V415" s="31"/>
    </row>
    <row r="416">
      <c r="B416" s="138"/>
      <c r="V416" s="31"/>
    </row>
    <row r="417">
      <c r="B417" s="138"/>
      <c r="V417" s="31"/>
    </row>
    <row r="418">
      <c r="B418" s="138"/>
      <c r="V418" s="31"/>
    </row>
    <row r="419">
      <c r="B419" s="138"/>
      <c r="V419" s="31"/>
    </row>
    <row r="420">
      <c r="B420" s="138"/>
      <c r="V420" s="31"/>
    </row>
    <row r="421">
      <c r="B421" s="138"/>
      <c r="V421" s="31"/>
    </row>
    <row r="422">
      <c r="B422" s="138"/>
      <c r="V422" s="31"/>
    </row>
    <row r="423">
      <c r="B423" s="138"/>
      <c r="V423" s="31"/>
    </row>
    <row r="424">
      <c r="B424" s="138"/>
      <c r="V424" s="31"/>
    </row>
    <row r="425">
      <c r="B425" s="138"/>
      <c r="V425" s="31"/>
    </row>
    <row r="426">
      <c r="B426" s="138"/>
      <c r="V426" s="31"/>
    </row>
    <row r="427">
      <c r="B427" s="138"/>
      <c r="V427" s="31"/>
    </row>
    <row r="428">
      <c r="B428" s="138"/>
      <c r="V428" s="31"/>
    </row>
    <row r="429">
      <c r="B429" s="138"/>
      <c r="V429" s="31"/>
    </row>
    <row r="430">
      <c r="B430" s="138"/>
      <c r="V430" s="31"/>
    </row>
    <row r="431">
      <c r="B431" s="138"/>
      <c r="V431" s="31"/>
    </row>
    <row r="432">
      <c r="B432" s="138"/>
      <c r="V432" s="31"/>
    </row>
    <row r="433">
      <c r="B433" s="138"/>
      <c r="V433" s="31"/>
    </row>
    <row r="434">
      <c r="B434" s="138"/>
      <c r="V434" s="31"/>
    </row>
    <row r="435">
      <c r="B435" s="138"/>
      <c r="V435" s="31"/>
    </row>
    <row r="436">
      <c r="B436" s="138"/>
      <c r="V436" s="31"/>
    </row>
    <row r="437">
      <c r="B437" s="138"/>
      <c r="V437" s="31"/>
    </row>
    <row r="438">
      <c r="B438" s="138"/>
      <c r="V438" s="31"/>
    </row>
    <row r="439">
      <c r="B439" s="138"/>
      <c r="V439" s="31"/>
    </row>
    <row r="440">
      <c r="B440" s="138"/>
      <c r="V440" s="31"/>
    </row>
    <row r="441">
      <c r="B441" s="138"/>
      <c r="V441" s="31"/>
    </row>
    <row r="442">
      <c r="B442" s="138"/>
      <c r="V442" s="31"/>
    </row>
    <row r="443">
      <c r="B443" s="138"/>
      <c r="V443" s="31"/>
    </row>
    <row r="444">
      <c r="B444" s="138"/>
      <c r="V444" s="31"/>
    </row>
    <row r="445">
      <c r="B445" s="138"/>
      <c r="V445" s="31"/>
    </row>
    <row r="446">
      <c r="B446" s="138"/>
      <c r="V446" s="31"/>
    </row>
    <row r="447">
      <c r="B447" s="138"/>
      <c r="V447" s="31"/>
    </row>
    <row r="448">
      <c r="B448" s="138"/>
      <c r="V448" s="31"/>
    </row>
    <row r="449">
      <c r="B449" s="138"/>
      <c r="V449" s="31"/>
    </row>
    <row r="450">
      <c r="B450" s="138"/>
      <c r="V450" s="31"/>
    </row>
    <row r="451">
      <c r="B451" s="138"/>
      <c r="V451" s="31"/>
    </row>
    <row r="452">
      <c r="B452" s="138"/>
      <c r="V452" s="31"/>
    </row>
    <row r="453">
      <c r="B453" s="138"/>
      <c r="V453" s="31"/>
    </row>
    <row r="454">
      <c r="B454" s="138"/>
      <c r="V454" s="31"/>
    </row>
    <row r="455">
      <c r="B455" s="138"/>
      <c r="V455" s="31"/>
    </row>
    <row r="456">
      <c r="B456" s="138"/>
      <c r="V456" s="31"/>
    </row>
    <row r="457">
      <c r="B457" s="138"/>
      <c r="V457" s="31"/>
    </row>
    <row r="458">
      <c r="B458" s="138"/>
      <c r="V458" s="31"/>
    </row>
    <row r="459">
      <c r="B459" s="138"/>
      <c r="V459" s="31"/>
    </row>
    <row r="460">
      <c r="B460" s="138"/>
      <c r="V460" s="31"/>
    </row>
    <row r="461">
      <c r="B461" s="138"/>
      <c r="V461" s="31"/>
    </row>
    <row r="462">
      <c r="B462" s="138"/>
      <c r="V462" s="31"/>
    </row>
    <row r="463">
      <c r="B463" s="138"/>
      <c r="V463" s="31"/>
    </row>
    <row r="464">
      <c r="B464" s="138"/>
      <c r="V464" s="31"/>
    </row>
    <row r="465">
      <c r="B465" s="138"/>
      <c r="V465" s="31"/>
    </row>
    <row r="466">
      <c r="B466" s="138"/>
      <c r="V466" s="31"/>
    </row>
    <row r="467">
      <c r="B467" s="138"/>
      <c r="V467" s="31"/>
    </row>
    <row r="468">
      <c r="B468" s="138"/>
      <c r="V468" s="31"/>
    </row>
    <row r="469">
      <c r="B469" s="138"/>
      <c r="V469" s="31"/>
    </row>
    <row r="470">
      <c r="B470" s="138"/>
      <c r="V470" s="31"/>
    </row>
    <row r="471">
      <c r="B471" s="138"/>
      <c r="V471" s="31"/>
    </row>
    <row r="472">
      <c r="B472" s="138"/>
      <c r="V472" s="31"/>
    </row>
    <row r="473">
      <c r="B473" s="138"/>
      <c r="V473" s="31"/>
    </row>
    <row r="474">
      <c r="B474" s="138"/>
      <c r="V474" s="31"/>
    </row>
    <row r="475">
      <c r="B475" s="138"/>
      <c r="V475" s="31"/>
    </row>
    <row r="476">
      <c r="B476" s="138"/>
      <c r="V476" s="31"/>
    </row>
    <row r="477">
      <c r="B477" s="138"/>
      <c r="V477" s="31"/>
    </row>
    <row r="478">
      <c r="B478" s="138"/>
      <c r="V478" s="31"/>
    </row>
    <row r="479">
      <c r="B479" s="138"/>
      <c r="V479" s="31"/>
    </row>
    <row r="480">
      <c r="B480" s="138"/>
      <c r="V480" s="31"/>
    </row>
    <row r="481">
      <c r="B481" s="138"/>
      <c r="V481" s="31"/>
    </row>
    <row r="482">
      <c r="B482" s="138"/>
      <c r="V482" s="31"/>
    </row>
    <row r="483">
      <c r="B483" s="138"/>
      <c r="V483" s="31"/>
    </row>
    <row r="484">
      <c r="B484" s="138"/>
      <c r="V484" s="31"/>
    </row>
    <row r="485">
      <c r="B485" s="138"/>
      <c r="V485" s="31"/>
    </row>
    <row r="486">
      <c r="B486" s="138"/>
      <c r="V486" s="31"/>
    </row>
    <row r="487">
      <c r="B487" s="138"/>
      <c r="V487" s="31"/>
    </row>
    <row r="488">
      <c r="B488" s="138"/>
      <c r="V488" s="31"/>
    </row>
    <row r="489">
      <c r="B489" s="138"/>
      <c r="V489" s="31"/>
    </row>
    <row r="490">
      <c r="B490" s="138"/>
      <c r="V490" s="31"/>
    </row>
    <row r="491">
      <c r="B491" s="138"/>
      <c r="V491" s="31"/>
    </row>
    <row r="492">
      <c r="B492" s="138"/>
      <c r="V492" s="31"/>
    </row>
    <row r="493">
      <c r="B493" s="138"/>
      <c r="V493" s="31"/>
    </row>
    <row r="494">
      <c r="B494" s="138"/>
      <c r="V494" s="31"/>
    </row>
    <row r="495">
      <c r="B495" s="138"/>
      <c r="V495" s="31"/>
    </row>
    <row r="496">
      <c r="B496" s="138"/>
      <c r="V496" s="31"/>
    </row>
    <row r="497">
      <c r="B497" s="138"/>
      <c r="V497" s="31"/>
    </row>
    <row r="498">
      <c r="B498" s="138"/>
      <c r="V498" s="31"/>
    </row>
    <row r="499">
      <c r="B499" s="138"/>
      <c r="V499" s="31"/>
    </row>
    <row r="500">
      <c r="B500" s="138"/>
      <c r="V500" s="31"/>
    </row>
    <row r="501">
      <c r="B501" s="138"/>
      <c r="V501" s="31"/>
    </row>
    <row r="502">
      <c r="B502" s="138"/>
      <c r="V502" s="31"/>
    </row>
    <row r="503">
      <c r="B503" s="138"/>
      <c r="V503" s="31"/>
    </row>
    <row r="504">
      <c r="B504" s="138"/>
      <c r="V504" s="31"/>
    </row>
    <row r="505">
      <c r="B505" s="138"/>
      <c r="V505" s="31"/>
    </row>
    <row r="506">
      <c r="B506" s="138"/>
      <c r="V506" s="31"/>
    </row>
    <row r="507">
      <c r="B507" s="138"/>
      <c r="V507" s="31"/>
    </row>
    <row r="508">
      <c r="B508" s="138"/>
      <c r="V508" s="31"/>
    </row>
    <row r="509">
      <c r="B509" s="138"/>
      <c r="V509" s="31"/>
    </row>
    <row r="510">
      <c r="B510" s="138"/>
      <c r="V510" s="31"/>
    </row>
    <row r="511">
      <c r="B511" s="138"/>
      <c r="V511" s="31"/>
    </row>
    <row r="512">
      <c r="B512" s="138"/>
      <c r="V512" s="31"/>
    </row>
    <row r="513">
      <c r="B513" s="138"/>
      <c r="V513" s="31"/>
    </row>
    <row r="514">
      <c r="B514" s="138"/>
      <c r="V514" s="31"/>
    </row>
    <row r="515">
      <c r="B515" s="138"/>
      <c r="V515" s="31"/>
    </row>
    <row r="516">
      <c r="B516" s="138"/>
      <c r="V516" s="31"/>
    </row>
    <row r="517">
      <c r="B517" s="138"/>
      <c r="V517" s="31"/>
    </row>
    <row r="518">
      <c r="B518" s="138"/>
      <c r="V518" s="31"/>
    </row>
    <row r="519">
      <c r="B519" s="138"/>
      <c r="V519" s="31"/>
    </row>
    <row r="520">
      <c r="B520" s="138"/>
      <c r="V520" s="31"/>
    </row>
    <row r="521">
      <c r="B521" s="138"/>
      <c r="V521" s="31"/>
    </row>
    <row r="522">
      <c r="B522" s="138"/>
      <c r="V522" s="31"/>
    </row>
    <row r="523">
      <c r="B523" s="138"/>
      <c r="V523" s="31"/>
    </row>
    <row r="524">
      <c r="B524" s="138"/>
      <c r="V524" s="31"/>
    </row>
    <row r="525">
      <c r="B525" s="138"/>
      <c r="V525" s="31"/>
    </row>
    <row r="526">
      <c r="B526" s="138"/>
      <c r="V526" s="31"/>
    </row>
    <row r="527">
      <c r="B527" s="138"/>
      <c r="V527" s="31"/>
    </row>
    <row r="528">
      <c r="B528" s="138"/>
      <c r="V528" s="31"/>
    </row>
    <row r="529">
      <c r="B529" s="138"/>
      <c r="V529" s="31"/>
    </row>
    <row r="530">
      <c r="B530" s="138"/>
      <c r="V530" s="31"/>
    </row>
    <row r="531">
      <c r="B531" s="138"/>
      <c r="V531" s="31"/>
    </row>
    <row r="532">
      <c r="B532" s="138"/>
      <c r="V532" s="31"/>
    </row>
    <row r="533">
      <c r="B533" s="138"/>
      <c r="V533" s="31"/>
    </row>
    <row r="534">
      <c r="B534" s="138"/>
      <c r="V534" s="31"/>
    </row>
    <row r="535">
      <c r="B535" s="138"/>
      <c r="V535" s="31"/>
    </row>
    <row r="536">
      <c r="B536" s="138"/>
      <c r="V536" s="31"/>
    </row>
    <row r="537">
      <c r="B537" s="138"/>
      <c r="V537" s="31"/>
    </row>
    <row r="538">
      <c r="B538" s="138"/>
      <c r="V538" s="31"/>
    </row>
    <row r="539">
      <c r="B539" s="138"/>
      <c r="V539" s="31"/>
    </row>
    <row r="540">
      <c r="B540" s="138"/>
      <c r="V540" s="31"/>
    </row>
    <row r="541">
      <c r="B541" s="138"/>
      <c r="V541" s="31"/>
    </row>
    <row r="542">
      <c r="B542" s="138"/>
      <c r="V542" s="31"/>
    </row>
    <row r="543">
      <c r="B543" s="138"/>
      <c r="V543" s="31"/>
    </row>
    <row r="544">
      <c r="B544" s="138"/>
      <c r="V544" s="31"/>
    </row>
    <row r="545">
      <c r="B545" s="138"/>
      <c r="V545" s="31"/>
    </row>
    <row r="546">
      <c r="B546" s="138"/>
      <c r="V546" s="31"/>
    </row>
    <row r="547">
      <c r="B547" s="138"/>
      <c r="V547" s="31"/>
    </row>
    <row r="548">
      <c r="B548" s="138"/>
      <c r="V548" s="31"/>
    </row>
    <row r="549">
      <c r="B549" s="138"/>
      <c r="V549" s="31"/>
    </row>
    <row r="550">
      <c r="B550" s="138"/>
      <c r="V550" s="31"/>
    </row>
    <row r="551">
      <c r="B551" s="138"/>
      <c r="V551" s="31"/>
    </row>
    <row r="552">
      <c r="B552" s="138"/>
      <c r="V552" s="31"/>
    </row>
    <row r="553">
      <c r="B553" s="138"/>
      <c r="V553" s="31"/>
    </row>
    <row r="554">
      <c r="B554" s="138"/>
      <c r="V554" s="31"/>
    </row>
    <row r="555">
      <c r="B555" s="138"/>
      <c r="V555" s="31"/>
    </row>
    <row r="556">
      <c r="B556" s="138"/>
      <c r="V556" s="31"/>
    </row>
    <row r="557">
      <c r="B557" s="138"/>
      <c r="V557" s="31"/>
    </row>
    <row r="558">
      <c r="B558" s="138"/>
      <c r="V558" s="31"/>
    </row>
    <row r="559">
      <c r="B559" s="138"/>
      <c r="V559" s="31"/>
    </row>
    <row r="560">
      <c r="B560" s="138"/>
      <c r="V560" s="31"/>
    </row>
    <row r="561">
      <c r="B561" s="138"/>
      <c r="V561" s="31"/>
    </row>
    <row r="562">
      <c r="B562" s="138"/>
      <c r="V562" s="31"/>
    </row>
    <row r="563">
      <c r="B563" s="138"/>
      <c r="V563" s="31"/>
    </row>
    <row r="564">
      <c r="B564" s="138"/>
      <c r="V564" s="31"/>
    </row>
    <row r="565">
      <c r="B565" s="138"/>
      <c r="V565" s="31"/>
    </row>
    <row r="566">
      <c r="B566" s="138"/>
      <c r="V566" s="31"/>
    </row>
    <row r="567">
      <c r="B567" s="138"/>
      <c r="V567" s="31"/>
    </row>
    <row r="568">
      <c r="B568" s="138"/>
      <c r="V568" s="31"/>
    </row>
    <row r="569">
      <c r="B569" s="138"/>
      <c r="V569" s="31"/>
    </row>
    <row r="570">
      <c r="B570" s="138"/>
      <c r="V570" s="31"/>
    </row>
    <row r="571">
      <c r="B571" s="138"/>
      <c r="V571" s="31"/>
    </row>
    <row r="572">
      <c r="B572" s="138"/>
      <c r="V572" s="31"/>
    </row>
    <row r="573">
      <c r="B573" s="138"/>
      <c r="V573" s="31"/>
    </row>
    <row r="574">
      <c r="B574" s="138"/>
      <c r="V574" s="31"/>
    </row>
    <row r="575">
      <c r="B575" s="138"/>
      <c r="V575" s="31"/>
    </row>
    <row r="576">
      <c r="B576" s="138"/>
      <c r="V576" s="31"/>
    </row>
    <row r="577">
      <c r="B577" s="138"/>
      <c r="V577" s="31"/>
    </row>
    <row r="578">
      <c r="B578" s="138"/>
      <c r="V578" s="31"/>
    </row>
    <row r="579">
      <c r="B579" s="138"/>
      <c r="V579" s="31"/>
    </row>
    <row r="580">
      <c r="B580" s="138"/>
      <c r="V580" s="31"/>
    </row>
    <row r="581">
      <c r="B581" s="138"/>
      <c r="V581" s="31"/>
    </row>
    <row r="582">
      <c r="B582" s="138"/>
      <c r="V582" s="31"/>
    </row>
    <row r="583">
      <c r="B583" s="138"/>
      <c r="V583" s="31"/>
    </row>
    <row r="584">
      <c r="B584" s="138"/>
      <c r="V584" s="31"/>
    </row>
    <row r="585">
      <c r="B585" s="138"/>
      <c r="V585" s="31"/>
    </row>
    <row r="586">
      <c r="B586" s="138"/>
      <c r="V586" s="31"/>
    </row>
    <row r="587">
      <c r="B587" s="138"/>
      <c r="V587" s="31"/>
    </row>
    <row r="588">
      <c r="B588" s="138"/>
      <c r="V588" s="31"/>
    </row>
    <row r="589">
      <c r="B589" s="138"/>
      <c r="V589" s="31"/>
    </row>
    <row r="590">
      <c r="B590" s="138"/>
      <c r="V590" s="31"/>
    </row>
    <row r="591">
      <c r="B591" s="138"/>
      <c r="V591" s="31"/>
    </row>
    <row r="592">
      <c r="B592" s="138"/>
      <c r="V592" s="31"/>
    </row>
    <row r="593">
      <c r="B593" s="138"/>
      <c r="V593" s="31"/>
    </row>
    <row r="594">
      <c r="B594" s="138"/>
      <c r="V594" s="31"/>
    </row>
    <row r="595">
      <c r="B595" s="138"/>
      <c r="V595" s="31"/>
    </row>
    <row r="596">
      <c r="B596" s="138"/>
      <c r="V596" s="31"/>
    </row>
    <row r="597">
      <c r="B597" s="138"/>
      <c r="V597" s="31"/>
    </row>
    <row r="598">
      <c r="B598" s="138"/>
      <c r="V598" s="31"/>
    </row>
    <row r="599">
      <c r="B599" s="138"/>
      <c r="V599" s="31"/>
    </row>
    <row r="600">
      <c r="B600" s="138"/>
      <c r="V600" s="31"/>
    </row>
    <row r="601">
      <c r="B601" s="138"/>
      <c r="V601" s="31"/>
    </row>
    <row r="602">
      <c r="B602" s="138"/>
      <c r="V602" s="31"/>
    </row>
    <row r="603">
      <c r="B603" s="138"/>
      <c r="V603" s="31"/>
    </row>
    <row r="604">
      <c r="B604" s="138"/>
      <c r="V604" s="31"/>
    </row>
    <row r="605">
      <c r="B605" s="138"/>
      <c r="V605" s="31"/>
    </row>
    <row r="606">
      <c r="B606" s="138"/>
      <c r="V606" s="31"/>
    </row>
    <row r="607">
      <c r="B607" s="138"/>
      <c r="V607" s="31"/>
    </row>
    <row r="608">
      <c r="B608" s="138"/>
      <c r="V608" s="31"/>
    </row>
    <row r="609">
      <c r="B609" s="138"/>
      <c r="V609" s="31"/>
    </row>
    <row r="610">
      <c r="B610" s="138"/>
      <c r="V610" s="31"/>
    </row>
    <row r="611">
      <c r="B611" s="138"/>
      <c r="V611" s="31"/>
    </row>
    <row r="612">
      <c r="B612" s="138"/>
      <c r="V612" s="31"/>
    </row>
    <row r="613">
      <c r="B613" s="138"/>
      <c r="V613" s="31"/>
    </row>
    <row r="614">
      <c r="B614" s="138"/>
      <c r="V614" s="31"/>
    </row>
    <row r="615">
      <c r="B615" s="138"/>
      <c r="V615" s="31"/>
    </row>
    <row r="616">
      <c r="B616" s="138"/>
      <c r="V616" s="31"/>
    </row>
    <row r="617">
      <c r="B617" s="138"/>
      <c r="V617" s="31"/>
    </row>
    <row r="618">
      <c r="B618" s="138"/>
      <c r="V618" s="31"/>
    </row>
    <row r="619">
      <c r="B619" s="138"/>
      <c r="V619" s="31"/>
    </row>
    <row r="620">
      <c r="B620" s="138"/>
      <c r="V620" s="31"/>
    </row>
    <row r="621">
      <c r="B621" s="138"/>
      <c r="V621" s="31"/>
    </row>
    <row r="622">
      <c r="B622" s="138"/>
      <c r="V622" s="31"/>
    </row>
    <row r="623">
      <c r="B623" s="138"/>
      <c r="V623" s="31"/>
    </row>
    <row r="624">
      <c r="B624" s="138"/>
      <c r="V624" s="31"/>
    </row>
    <row r="625">
      <c r="B625" s="138"/>
      <c r="V625" s="31"/>
    </row>
    <row r="626">
      <c r="B626" s="138"/>
      <c r="V626" s="31"/>
    </row>
    <row r="627">
      <c r="B627" s="138"/>
      <c r="V627" s="31"/>
    </row>
    <row r="628">
      <c r="B628" s="138"/>
      <c r="V628" s="31"/>
    </row>
    <row r="629">
      <c r="B629" s="138"/>
      <c r="V629" s="31"/>
    </row>
    <row r="630">
      <c r="B630" s="138"/>
      <c r="V630" s="31"/>
    </row>
    <row r="631">
      <c r="B631" s="138"/>
      <c r="V631" s="31"/>
    </row>
    <row r="632">
      <c r="B632" s="138"/>
      <c r="V632" s="31"/>
    </row>
    <row r="633">
      <c r="B633" s="138"/>
      <c r="V633" s="31"/>
    </row>
    <row r="634">
      <c r="B634" s="138"/>
      <c r="V634" s="31"/>
    </row>
    <row r="635">
      <c r="B635" s="138"/>
      <c r="V635" s="31"/>
    </row>
    <row r="636">
      <c r="B636" s="138"/>
      <c r="V636" s="31"/>
    </row>
    <row r="637">
      <c r="B637" s="138"/>
      <c r="V637" s="31"/>
    </row>
    <row r="638">
      <c r="B638" s="138"/>
      <c r="V638" s="31"/>
    </row>
    <row r="639">
      <c r="B639" s="138"/>
      <c r="V639" s="31"/>
    </row>
    <row r="640">
      <c r="B640" s="138"/>
      <c r="V640" s="31"/>
    </row>
    <row r="641">
      <c r="B641" s="138"/>
      <c r="V641" s="31"/>
    </row>
    <row r="642">
      <c r="B642" s="138"/>
      <c r="V642" s="31"/>
    </row>
    <row r="643">
      <c r="B643" s="138"/>
      <c r="V643" s="31"/>
    </row>
    <row r="644">
      <c r="B644" s="138"/>
      <c r="V644" s="31"/>
    </row>
    <row r="645">
      <c r="B645" s="138"/>
      <c r="V645" s="31"/>
    </row>
    <row r="646">
      <c r="B646" s="138"/>
      <c r="V646" s="31"/>
    </row>
    <row r="647">
      <c r="B647" s="138"/>
      <c r="V647" s="31"/>
    </row>
    <row r="648">
      <c r="B648" s="138"/>
      <c r="V648" s="31"/>
    </row>
    <row r="649">
      <c r="B649" s="138"/>
      <c r="V649" s="31"/>
    </row>
    <row r="650">
      <c r="B650" s="138"/>
      <c r="V650" s="31"/>
    </row>
    <row r="651">
      <c r="B651" s="138"/>
      <c r="V651" s="31"/>
    </row>
    <row r="652">
      <c r="B652" s="138"/>
      <c r="V652" s="31"/>
    </row>
    <row r="653">
      <c r="B653" s="138"/>
      <c r="V653" s="31"/>
    </row>
    <row r="654">
      <c r="B654" s="138"/>
      <c r="V654" s="31"/>
    </row>
    <row r="655">
      <c r="B655" s="138"/>
      <c r="V655" s="31"/>
    </row>
    <row r="656">
      <c r="B656" s="138"/>
      <c r="V656" s="31"/>
    </row>
    <row r="657">
      <c r="B657" s="138"/>
      <c r="V657" s="31"/>
    </row>
    <row r="658">
      <c r="B658" s="138"/>
      <c r="V658" s="31"/>
    </row>
    <row r="659">
      <c r="B659" s="138"/>
      <c r="V659" s="31"/>
    </row>
    <row r="660">
      <c r="B660" s="138"/>
      <c r="V660" s="31"/>
    </row>
    <row r="661">
      <c r="B661" s="138"/>
      <c r="V661" s="31"/>
    </row>
    <row r="662">
      <c r="B662" s="138"/>
      <c r="V662" s="31"/>
    </row>
    <row r="663">
      <c r="B663" s="138"/>
      <c r="V663" s="31"/>
    </row>
    <row r="664">
      <c r="B664" s="138"/>
      <c r="V664" s="31"/>
    </row>
    <row r="665">
      <c r="B665" s="138"/>
      <c r="V665" s="31"/>
    </row>
    <row r="666">
      <c r="B666" s="138"/>
      <c r="V666" s="31"/>
    </row>
    <row r="667">
      <c r="B667" s="138"/>
      <c r="V667" s="31"/>
    </row>
    <row r="668">
      <c r="B668" s="138"/>
      <c r="V668" s="31"/>
    </row>
    <row r="669">
      <c r="B669" s="138"/>
      <c r="V669" s="31"/>
    </row>
    <row r="670">
      <c r="B670" s="138"/>
      <c r="V670" s="31"/>
    </row>
    <row r="671">
      <c r="B671" s="138"/>
      <c r="V671" s="31"/>
    </row>
    <row r="672">
      <c r="B672" s="138"/>
      <c r="V672" s="31"/>
    </row>
    <row r="673">
      <c r="B673" s="138"/>
      <c r="V673" s="31"/>
    </row>
    <row r="674">
      <c r="B674" s="138"/>
      <c r="V674" s="31"/>
    </row>
    <row r="675">
      <c r="B675" s="138"/>
      <c r="V675" s="31"/>
    </row>
    <row r="676">
      <c r="B676" s="138"/>
      <c r="V676" s="31"/>
    </row>
    <row r="677">
      <c r="B677" s="138"/>
      <c r="V677" s="31"/>
    </row>
    <row r="678">
      <c r="B678" s="138"/>
      <c r="V678" s="31"/>
    </row>
    <row r="679">
      <c r="B679" s="138"/>
      <c r="V679" s="31"/>
    </row>
    <row r="680">
      <c r="B680" s="138"/>
      <c r="V680" s="31"/>
    </row>
    <row r="681">
      <c r="B681" s="138"/>
      <c r="V681" s="31"/>
    </row>
    <row r="682">
      <c r="B682" s="138"/>
      <c r="V682" s="31"/>
    </row>
    <row r="683">
      <c r="B683" s="138"/>
      <c r="V683" s="31"/>
    </row>
    <row r="684">
      <c r="B684" s="138"/>
      <c r="V684" s="31"/>
    </row>
    <row r="685">
      <c r="B685" s="138"/>
      <c r="V685" s="31"/>
    </row>
    <row r="686">
      <c r="B686" s="138"/>
      <c r="V686" s="31"/>
    </row>
    <row r="687">
      <c r="B687" s="138"/>
      <c r="V687" s="31"/>
    </row>
    <row r="688">
      <c r="B688" s="138"/>
      <c r="V688" s="31"/>
    </row>
    <row r="689">
      <c r="B689" s="138"/>
      <c r="V689" s="31"/>
    </row>
    <row r="690">
      <c r="B690" s="138"/>
      <c r="V690" s="31"/>
    </row>
    <row r="691">
      <c r="B691" s="138"/>
      <c r="V691" s="31"/>
    </row>
    <row r="692">
      <c r="B692" s="138"/>
      <c r="V692" s="31"/>
    </row>
    <row r="693">
      <c r="B693" s="138"/>
      <c r="V693" s="31"/>
    </row>
    <row r="694">
      <c r="B694" s="138"/>
      <c r="V694" s="31"/>
    </row>
    <row r="695">
      <c r="B695" s="138"/>
      <c r="V695" s="31"/>
    </row>
    <row r="696">
      <c r="B696" s="138"/>
      <c r="V696" s="31"/>
    </row>
    <row r="697">
      <c r="B697" s="138"/>
      <c r="V697" s="31"/>
    </row>
    <row r="698">
      <c r="B698" s="138"/>
      <c r="V698" s="31"/>
    </row>
    <row r="699">
      <c r="B699" s="138"/>
      <c r="V699" s="31"/>
    </row>
    <row r="700">
      <c r="B700" s="138"/>
      <c r="V700" s="31"/>
    </row>
    <row r="701">
      <c r="B701" s="138"/>
      <c r="V701" s="31"/>
    </row>
    <row r="702">
      <c r="B702" s="138"/>
      <c r="V702" s="31"/>
    </row>
    <row r="703">
      <c r="B703" s="138"/>
      <c r="V703" s="31"/>
    </row>
    <row r="704">
      <c r="B704" s="138"/>
      <c r="V704" s="31"/>
    </row>
    <row r="705">
      <c r="B705" s="138"/>
      <c r="V705" s="31"/>
    </row>
    <row r="706">
      <c r="B706" s="138"/>
      <c r="V706" s="31"/>
    </row>
    <row r="707">
      <c r="B707" s="138"/>
      <c r="V707" s="31"/>
    </row>
    <row r="708">
      <c r="B708" s="138"/>
      <c r="V708" s="31"/>
    </row>
    <row r="709">
      <c r="B709" s="138"/>
      <c r="V709" s="31"/>
    </row>
    <row r="710">
      <c r="B710" s="138"/>
      <c r="V710" s="31"/>
    </row>
    <row r="711">
      <c r="B711" s="138"/>
      <c r="V711" s="31"/>
    </row>
    <row r="712">
      <c r="B712" s="138"/>
      <c r="V712" s="31"/>
    </row>
    <row r="713">
      <c r="B713" s="138"/>
      <c r="V713" s="31"/>
    </row>
    <row r="714">
      <c r="B714" s="138"/>
      <c r="V714" s="31"/>
    </row>
    <row r="715">
      <c r="B715" s="138"/>
      <c r="V715" s="31"/>
    </row>
    <row r="716">
      <c r="B716" s="138"/>
      <c r="V716" s="31"/>
    </row>
    <row r="717">
      <c r="B717" s="138"/>
      <c r="V717" s="31"/>
    </row>
    <row r="718">
      <c r="B718" s="138"/>
      <c r="V718" s="31"/>
    </row>
    <row r="719">
      <c r="B719" s="138"/>
      <c r="V719" s="31"/>
    </row>
    <row r="720">
      <c r="B720" s="138"/>
      <c r="V720" s="31"/>
    </row>
    <row r="721">
      <c r="B721" s="138"/>
      <c r="V721" s="31"/>
    </row>
    <row r="722">
      <c r="B722" s="138"/>
      <c r="V722" s="31"/>
    </row>
    <row r="723">
      <c r="B723" s="138"/>
      <c r="V723" s="31"/>
    </row>
    <row r="724">
      <c r="B724" s="138"/>
      <c r="V724" s="31"/>
    </row>
    <row r="725">
      <c r="B725" s="138"/>
      <c r="V725" s="31"/>
    </row>
    <row r="726">
      <c r="B726" s="138"/>
      <c r="V726" s="31"/>
    </row>
    <row r="727">
      <c r="B727" s="138"/>
      <c r="V727" s="31"/>
    </row>
    <row r="728">
      <c r="B728" s="138"/>
      <c r="V728" s="31"/>
    </row>
    <row r="729">
      <c r="B729" s="138"/>
      <c r="V729" s="31"/>
    </row>
    <row r="730">
      <c r="B730" s="138"/>
      <c r="V730" s="31"/>
    </row>
    <row r="731">
      <c r="B731" s="138"/>
      <c r="V731" s="31"/>
    </row>
    <row r="732">
      <c r="B732" s="138"/>
      <c r="V732" s="31"/>
    </row>
    <row r="733">
      <c r="B733" s="138"/>
      <c r="V733" s="31"/>
    </row>
    <row r="734">
      <c r="B734" s="138"/>
      <c r="V734" s="31"/>
    </row>
    <row r="735">
      <c r="B735" s="138"/>
      <c r="V735" s="31"/>
    </row>
    <row r="736">
      <c r="B736" s="138"/>
      <c r="V736" s="31"/>
    </row>
    <row r="737">
      <c r="B737" s="138"/>
      <c r="V737" s="31"/>
    </row>
    <row r="738">
      <c r="B738" s="138"/>
      <c r="V738" s="31"/>
    </row>
    <row r="739">
      <c r="B739" s="138"/>
      <c r="V739" s="31"/>
    </row>
    <row r="740">
      <c r="B740" s="138"/>
      <c r="V740" s="31"/>
    </row>
    <row r="741">
      <c r="B741" s="138"/>
      <c r="V741" s="31"/>
    </row>
    <row r="742">
      <c r="B742" s="138"/>
      <c r="V742" s="31"/>
    </row>
    <row r="743">
      <c r="B743" s="138"/>
      <c r="V743" s="31"/>
    </row>
    <row r="744">
      <c r="B744" s="138"/>
      <c r="V744" s="31"/>
    </row>
    <row r="745">
      <c r="B745" s="138"/>
      <c r="V745" s="31"/>
    </row>
    <row r="746">
      <c r="B746" s="138"/>
      <c r="V746" s="31"/>
    </row>
    <row r="747">
      <c r="B747" s="138"/>
      <c r="V747" s="31"/>
    </row>
    <row r="748">
      <c r="B748" s="138"/>
      <c r="V748" s="31"/>
    </row>
    <row r="749">
      <c r="B749" s="138"/>
      <c r="V749" s="31"/>
    </row>
    <row r="750">
      <c r="B750" s="138"/>
      <c r="V750" s="31"/>
    </row>
    <row r="751">
      <c r="B751" s="138"/>
      <c r="V751" s="31"/>
    </row>
    <row r="752">
      <c r="B752" s="138"/>
      <c r="V752" s="31"/>
    </row>
    <row r="753">
      <c r="B753" s="138"/>
      <c r="V753" s="31"/>
    </row>
    <row r="754">
      <c r="B754" s="138"/>
      <c r="V754" s="31"/>
    </row>
    <row r="755">
      <c r="B755" s="138"/>
      <c r="V755" s="31"/>
    </row>
    <row r="756">
      <c r="B756" s="138"/>
      <c r="V756" s="31"/>
    </row>
    <row r="757">
      <c r="B757" s="138"/>
      <c r="V757" s="31"/>
    </row>
    <row r="758">
      <c r="B758" s="138"/>
      <c r="V758" s="31"/>
    </row>
    <row r="759">
      <c r="B759" s="138"/>
      <c r="V759" s="31"/>
    </row>
    <row r="760">
      <c r="B760" s="138"/>
      <c r="V760" s="31"/>
    </row>
    <row r="761">
      <c r="B761" s="138"/>
      <c r="V761" s="31"/>
    </row>
    <row r="762">
      <c r="B762" s="138"/>
      <c r="V762" s="31"/>
    </row>
    <row r="763">
      <c r="B763" s="138"/>
      <c r="V763" s="31"/>
    </row>
    <row r="764">
      <c r="B764" s="138"/>
      <c r="V764" s="31"/>
    </row>
    <row r="765">
      <c r="B765" s="138"/>
      <c r="V765" s="31"/>
    </row>
    <row r="766">
      <c r="B766" s="138"/>
      <c r="V766" s="31"/>
    </row>
    <row r="767">
      <c r="B767" s="138"/>
      <c r="V767" s="31"/>
    </row>
    <row r="768">
      <c r="B768" s="138"/>
      <c r="V768" s="31"/>
    </row>
    <row r="769">
      <c r="B769" s="138"/>
      <c r="V769" s="31"/>
    </row>
    <row r="770">
      <c r="B770" s="138"/>
      <c r="V770" s="31"/>
    </row>
    <row r="771">
      <c r="B771" s="138"/>
      <c r="V771" s="31"/>
    </row>
    <row r="772">
      <c r="B772" s="138"/>
      <c r="V772" s="31"/>
    </row>
    <row r="773">
      <c r="B773" s="138"/>
      <c r="V773" s="31"/>
    </row>
    <row r="774">
      <c r="B774" s="138"/>
      <c r="V774" s="31"/>
    </row>
    <row r="775">
      <c r="B775" s="138"/>
      <c r="V775" s="31"/>
    </row>
    <row r="776">
      <c r="B776" s="138"/>
      <c r="V776" s="31"/>
    </row>
    <row r="777">
      <c r="B777" s="138"/>
      <c r="V777" s="31"/>
    </row>
    <row r="778">
      <c r="B778" s="138"/>
      <c r="V778" s="31"/>
    </row>
    <row r="779">
      <c r="B779" s="138"/>
      <c r="V779" s="31"/>
    </row>
    <row r="780">
      <c r="B780" s="138"/>
      <c r="V780" s="31"/>
    </row>
    <row r="781">
      <c r="B781" s="138"/>
      <c r="V781" s="31"/>
    </row>
    <row r="782">
      <c r="B782" s="138"/>
      <c r="V782" s="31"/>
    </row>
    <row r="783">
      <c r="B783" s="138"/>
      <c r="V783" s="31"/>
    </row>
    <row r="784">
      <c r="B784" s="138"/>
      <c r="V784" s="31"/>
    </row>
    <row r="785">
      <c r="B785" s="138"/>
      <c r="V785" s="31"/>
    </row>
    <row r="786">
      <c r="B786" s="138"/>
      <c r="V786" s="31"/>
    </row>
    <row r="787">
      <c r="B787" s="138"/>
      <c r="V787" s="31"/>
    </row>
    <row r="788">
      <c r="B788" s="138"/>
      <c r="V788" s="31"/>
    </row>
    <row r="789">
      <c r="B789" s="138"/>
      <c r="V789" s="31"/>
    </row>
    <row r="790">
      <c r="B790" s="138"/>
      <c r="V790" s="31"/>
    </row>
    <row r="791">
      <c r="B791" s="138"/>
      <c r="V791" s="31"/>
    </row>
    <row r="792">
      <c r="B792" s="138"/>
      <c r="V792" s="31"/>
    </row>
    <row r="793">
      <c r="B793" s="138"/>
      <c r="V793" s="31"/>
    </row>
    <row r="794">
      <c r="B794" s="138"/>
      <c r="V794" s="31"/>
    </row>
    <row r="795">
      <c r="B795" s="138"/>
      <c r="V795" s="31"/>
    </row>
    <row r="796">
      <c r="B796" s="138"/>
      <c r="V796" s="31"/>
    </row>
    <row r="797">
      <c r="B797" s="138"/>
      <c r="V797" s="31"/>
    </row>
    <row r="798">
      <c r="B798" s="138"/>
      <c r="V798" s="31"/>
    </row>
    <row r="799">
      <c r="B799" s="138"/>
      <c r="V799" s="31"/>
    </row>
    <row r="800">
      <c r="B800" s="138"/>
      <c r="V800" s="31"/>
    </row>
    <row r="801">
      <c r="B801" s="138"/>
      <c r="V801" s="31"/>
    </row>
    <row r="802">
      <c r="B802" s="138"/>
      <c r="V802" s="31"/>
    </row>
    <row r="803">
      <c r="B803" s="138"/>
      <c r="V803" s="31"/>
    </row>
    <row r="804">
      <c r="B804" s="138"/>
      <c r="V804" s="31"/>
    </row>
    <row r="805">
      <c r="B805" s="138"/>
      <c r="V805" s="31"/>
    </row>
    <row r="806">
      <c r="B806" s="138"/>
      <c r="V806" s="31"/>
    </row>
    <row r="807">
      <c r="B807" s="138"/>
      <c r="V807" s="31"/>
    </row>
    <row r="808">
      <c r="B808" s="138"/>
      <c r="V808" s="31"/>
    </row>
    <row r="809">
      <c r="B809" s="138"/>
      <c r="V809" s="31"/>
    </row>
    <row r="810">
      <c r="B810" s="138"/>
      <c r="V810" s="31"/>
    </row>
    <row r="811">
      <c r="B811" s="138"/>
      <c r="V811" s="31"/>
    </row>
    <row r="812">
      <c r="B812" s="138"/>
      <c r="V812" s="31"/>
    </row>
    <row r="813">
      <c r="B813" s="138"/>
      <c r="V813" s="31"/>
    </row>
    <row r="814">
      <c r="B814" s="138"/>
      <c r="V814" s="31"/>
    </row>
    <row r="815">
      <c r="B815" s="138"/>
      <c r="V815" s="31"/>
    </row>
    <row r="816">
      <c r="B816" s="138"/>
      <c r="V816" s="31"/>
    </row>
    <row r="817">
      <c r="B817" s="138"/>
      <c r="V817" s="31"/>
    </row>
    <row r="818">
      <c r="B818" s="138"/>
      <c r="V818" s="31"/>
    </row>
    <row r="819">
      <c r="B819" s="138"/>
      <c r="V819" s="31"/>
    </row>
    <row r="820">
      <c r="B820" s="138"/>
      <c r="V820" s="31"/>
    </row>
    <row r="821">
      <c r="B821" s="138"/>
      <c r="V821" s="31"/>
    </row>
    <row r="822">
      <c r="B822" s="138"/>
      <c r="V822" s="31"/>
    </row>
    <row r="823">
      <c r="B823" s="138"/>
      <c r="V823" s="31"/>
    </row>
    <row r="824">
      <c r="B824" s="138"/>
      <c r="V824" s="31"/>
    </row>
    <row r="825">
      <c r="B825" s="138"/>
      <c r="V825" s="31"/>
    </row>
    <row r="826">
      <c r="B826" s="138"/>
      <c r="V826" s="31"/>
    </row>
    <row r="827">
      <c r="B827" s="138"/>
      <c r="V827" s="31"/>
    </row>
    <row r="828">
      <c r="B828" s="138"/>
      <c r="V828" s="31"/>
    </row>
    <row r="829">
      <c r="B829" s="138"/>
      <c r="V829" s="31"/>
    </row>
    <row r="830">
      <c r="B830" s="138"/>
      <c r="V830" s="31"/>
    </row>
    <row r="831">
      <c r="B831" s="138"/>
      <c r="V831" s="31"/>
    </row>
    <row r="832">
      <c r="B832" s="138"/>
      <c r="V832" s="31"/>
    </row>
    <row r="833">
      <c r="B833" s="138"/>
      <c r="V833" s="31"/>
    </row>
    <row r="834">
      <c r="B834" s="138"/>
      <c r="V834" s="31"/>
    </row>
    <row r="835">
      <c r="B835" s="138"/>
      <c r="V835" s="31"/>
    </row>
    <row r="836">
      <c r="B836" s="138"/>
      <c r="V836" s="31"/>
    </row>
    <row r="837">
      <c r="B837" s="138"/>
      <c r="V837" s="31"/>
    </row>
    <row r="838">
      <c r="B838" s="138"/>
      <c r="V838" s="31"/>
    </row>
    <row r="839">
      <c r="B839" s="138"/>
      <c r="V839" s="31"/>
    </row>
    <row r="840">
      <c r="B840" s="138"/>
      <c r="V840" s="31"/>
    </row>
    <row r="841">
      <c r="B841" s="138"/>
      <c r="V841" s="31"/>
    </row>
    <row r="842">
      <c r="B842" s="138"/>
      <c r="V842" s="31"/>
    </row>
    <row r="843">
      <c r="B843" s="138"/>
      <c r="V843" s="31"/>
    </row>
    <row r="844">
      <c r="B844" s="138"/>
      <c r="V844" s="31"/>
    </row>
    <row r="845">
      <c r="B845" s="138"/>
      <c r="V845" s="31"/>
    </row>
    <row r="846">
      <c r="B846" s="138"/>
      <c r="V846" s="31"/>
    </row>
    <row r="847">
      <c r="B847" s="138"/>
      <c r="V847" s="31"/>
    </row>
    <row r="848">
      <c r="B848" s="138"/>
      <c r="V848" s="31"/>
    </row>
    <row r="849">
      <c r="B849" s="138"/>
      <c r="V849" s="31"/>
    </row>
    <row r="850">
      <c r="B850" s="138"/>
      <c r="V850" s="31"/>
    </row>
    <row r="851">
      <c r="B851" s="138"/>
      <c r="V851" s="31"/>
    </row>
    <row r="852">
      <c r="B852" s="138"/>
      <c r="V852" s="31"/>
    </row>
    <row r="853">
      <c r="B853" s="138"/>
      <c r="V853" s="31"/>
    </row>
    <row r="854">
      <c r="B854" s="138"/>
      <c r="V854" s="31"/>
    </row>
    <row r="855">
      <c r="B855" s="138"/>
      <c r="V855" s="31"/>
    </row>
    <row r="856">
      <c r="B856" s="138"/>
      <c r="V856" s="31"/>
    </row>
    <row r="857">
      <c r="B857" s="138"/>
      <c r="V857" s="31"/>
    </row>
    <row r="858">
      <c r="B858" s="138"/>
      <c r="V858" s="31"/>
    </row>
    <row r="859">
      <c r="B859" s="138"/>
      <c r="V859" s="31"/>
    </row>
    <row r="860">
      <c r="B860" s="138"/>
      <c r="V860" s="31"/>
    </row>
    <row r="861">
      <c r="B861" s="138"/>
      <c r="V861" s="31"/>
    </row>
    <row r="862">
      <c r="B862" s="138"/>
      <c r="V862" s="31"/>
    </row>
    <row r="863">
      <c r="B863" s="138"/>
      <c r="V863" s="31"/>
    </row>
    <row r="864">
      <c r="B864" s="138"/>
      <c r="V864" s="31"/>
    </row>
    <row r="865">
      <c r="B865" s="138"/>
      <c r="V865" s="31"/>
    </row>
    <row r="866">
      <c r="B866" s="138"/>
      <c r="V866" s="31"/>
    </row>
    <row r="867">
      <c r="B867" s="138"/>
      <c r="V867" s="31"/>
    </row>
    <row r="868">
      <c r="B868" s="138"/>
      <c r="V868" s="31"/>
    </row>
    <row r="869">
      <c r="B869" s="138"/>
      <c r="V869" s="31"/>
    </row>
    <row r="870">
      <c r="B870" s="138"/>
      <c r="V870" s="31"/>
    </row>
    <row r="871">
      <c r="B871" s="138"/>
      <c r="V871" s="31"/>
    </row>
    <row r="872">
      <c r="B872" s="138"/>
      <c r="V872" s="31"/>
    </row>
    <row r="873">
      <c r="B873" s="138"/>
      <c r="V873" s="31"/>
    </row>
    <row r="874">
      <c r="B874" s="138"/>
      <c r="V874" s="31"/>
    </row>
    <row r="875">
      <c r="B875" s="138"/>
      <c r="V875" s="31"/>
    </row>
    <row r="876">
      <c r="B876" s="138"/>
      <c r="V876" s="31"/>
    </row>
    <row r="877">
      <c r="B877" s="138"/>
      <c r="V877" s="31"/>
    </row>
    <row r="878">
      <c r="B878" s="138"/>
      <c r="V878" s="31"/>
    </row>
    <row r="879">
      <c r="B879" s="138"/>
      <c r="V879" s="31"/>
    </row>
    <row r="880">
      <c r="B880" s="138"/>
      <c r="V880" s="31"/>
    </row>
    <row r="881">
      <c r="B881" s="138"/>
      <c r="V881" s="31"/>
    </row>
    <row r="882">
      <c r="B882" s="138"/>
      <c r="V882" s="31"/>
    </row>
    <row r="883">
      <c r="B883" s="138"/>
      <c r="V883" s="31"/>
    </row>
    <row r="884">
      <c r="B884" s="138"/>
      <c r="V884" s="31"/>
    </row>
    <row r="885">
      <c r="B885" s="138"/>
      <c r="V885" s="31"/>
    </row>
    <row r="886">
      <c r="B886" s="138"/>
      <c r="V886" s="31"/>
    </row>
    <row r="887">
      <c r="B887" s="138"/>
      <c r="V887" s="31"/>
    </row>
    <row r="888">
      <c r="B888" s="138"/>
      <c r="V888" s="31"/>
    </row>
    <row r="889">
      <c r="B889" s="138"/>
      <c r="V889" s="31"/>
    </row>
    <row r="890">
      <c r="B890" s="138"/>
      <c r="V890" s="31"/>
    </row>
    <row r="891">
      <c r="B891" s="138"/>
      <c r="V891" s="31"/>
    </row>
    <row r="892">
      <c r="B892" s="138"/>
      <c r="V892" s="31"/>
    </row>
    <row r="893">
      <c r="B893" s="138"/>
      <c r="V893" s="31"/>
    </row>
    <row r="894">
      <c r="B894" s="138"/>
      <c r="V894" s="31"/>
    </row>
    <row r="895">
      <c r="B895" s="138"/>
      <c r="V895" s="31"/>
    </row>
    <row r="896">
      <c r="B896" s="138"/>
      <c r="V896" s="31"/>
    </row>
    <row r="897">
      <c r="B897" s="138"/>
      <c r="V897" s="31"/>
    </row>
    <row r="898">
      <c r="B898" s="138"/>
      <c r="V898" s="31"/>
    </row>
    <row r="899">
      <c r="B899" s="138"/>
      <c r="V899" s="31"/>
    </row>
    <row r="900">
      <c r="B900" s="138"/>
      <c r="V900" s="31"/>
    </row>
    <row r="901">
      <c r="B901" s="138"/>
      <c r="V901" s="31"/>
    </row>
    <row r="902">
      <c r="B902" s="138"/>
      <c r="V902" s="31"/>
    </row>
    <row r="903">
      <c r="B903" s="138"/>
      <c r="V903" s="31"/>
    </row>
    <row r="904">
      <c r="B904" s="138"/>
      <c r="V904" s="31"/>
    </row>
    <row r="905">
      <c r="B905" s="138"/>
      <c r="V905" s="31"/>
    </row>
    <row r="906">
      <c r="B906" s="138"/>
      <c r="V906" s="31"/>
    </row>
    <row r="907">
      <c r="B907" s="138"/>
      <c r="V907" s="31"/>
    </row>
    <row r="908">
      <c r="B908" s="138"/>
      <c r="V908" s="31"/>
    </row>
    <row r="909">
      <c r="B909" s="138"/>
      <c r="V909" s="31"/>
    </row>
    <row r="910">
      <c r="B910" s="138"/>
      <c r="V910" s="31"/>
    </row>
    <row r="911">
      <c r="B911" s="138"/>
      <c r="V911" s="31"/>
    </row>
    <row r="912">
      <c r="B912" s="138"/>
      <c r="V912" s="31"/>
    </row>
    <row r="913">
      <c r="B913" s="138"/>
      <c r="V913" s="31"/>
    </row>
    <row r="914">
      <c r="B914" s="138"/>
      <c r="V914" s="31"/>
    </row>
    <row r="915">
      <c r="B915" s="138"/>
      <c r="V915" s="31"/>
    </row>
    <row r="916">
      <c r="B916" s="138"/>
      <c r="V916" s="31"/>
    </row>
    <row r="917">
      <c r="B917" s="138"/>
      <c r="V917" s="31"/>
    </row>
    <row r="918">
      <c r="B918" s="138"/>
      <c r="V918" s="31"/>
    </row>
    <row r="919">
      <c r="B919" s="138"/>
      <c r="V919" s="31"/>
    </row>
    <row r="920">
      <c r="B920" s="138"/>
      <c r="V920" s="31"/>
    </row>
    <row r="921">
      <c r="B921" s="138"/>
      <c r="V921" s="31"/>
    </row>
    <row r="922">
      <c r="B922" s="138"/>
      <c r="V922" s="31"/>
    </row>
    <row r="923">
      <c r="B923" s="138"/>
      <c r="V923" s="31"/>
    </row>
    <row r="924">
      <c r="B924" s="138"/>
      <c r="V924" s="31"/>
    </row>
    <row r="925">
      <c r="B925" s="138"/>
      <c r="V925" s="31"/>
    </row>
    <row r="926">
      <c r="B926" s="138"/>
      <c r="V926" s="31"/>
    </row>
    <row r="927">
      <c r="B927" s="138"/>
      <c r="V927" s="31"/>
    </row>
    <row r="928">
      <c r="B928" s="138"/>
      <c r="V928" s="31"/>
    </row>
    <row r="929">
      <c r="B929" s="138"/>
      <c r="V929" s="31"/>
    </row>
    <row r="930">
      <c r="B930" s="138"/>
      <c r="V930" s="31"/>
    </row>
    <row r="931">
      <c r="B931" s="138"/>
      <c r="V931" s="31"/>
    </row>
    <row r="932">
      <c r="B932" s="138"/>
      <c r="V932" s="31"/>
    </row>
    <row r="933">
      <c r="B933" s="138"/>
      <c r="V933" s="31"/>
    </row>
    <row r="934">
      <c r="B934" s="138"/>
      <c r="V934" s="31"/>
    </row>
    <row r="935">
      <c r="B935" s="138"/>
      <c r="V935" s="31"/>
    </row>
    <row r="936">
      <c r="B936" s="138"/>
      <c r="V936" s="31"/>
    </row>
    <row r="937">
      <c r="B937" s="138"/>
      <c r="V937" s="31"/>
    </row>
    <row r="938">
      <c r="B938" s="138"/>
      <c r="V938" s="31"/>
    </row>
    <row r="939">
      <c r="B939" s="138"/>
      <c r="V939" s="31"/>
    </row>
    <row r="940">
      <c r="B940" s="138"/>
      <c r="V940" s="31"/>
    </row>
    <row r="941">
      <c r="B941" s="138"/>
      <c r="V941" s="31"/>
    </row>
    <row r="942">
      <c r="B942" s="138"/>
      <c r="V942" s="31"/>
    </row>
    <row r="943">
      <c r="B943" s="138"/>
      <c r="V943" s="31"/>
    </row>
    <row r="944">
      <c r="B944" s="138"/>
      <c r="V944" s="31"/>
    </row>
    <row r="945">
      <c r="B945" s="138"/>
      <c r="V945" s="31"/>
    </row>
    <row r="946">
      <c r="B946" s="138"/>
      <c r="V946" s="31"/>
    </row>
    <row r="947">
      <c r="B947" s="138"/>
      <c r="V947" s="31"/>
    </row>
    <row r="948">
      <c r="B948" s="138"/>
      <c r="V948" s="31"/>
    </row>
    <row r="949">
      <c r="B949" s="138"/>
      <c r="V949" s="31"/>
    </row>
    <row r="950">
      <c r="B950" s="138"/>
      <c r="V950" s="31"/>
    </row>
  </sheetData>
  <mergeCells count="16">
    <mergeCell ref="I3:J3"/>
    <mergeCell ref="K3:M3"/>
    <mergeCell ref="N3:O3"/>
    <mergeCell ref="P3:Q3"/>
    <mergeCell ref="R3:S3"/>
    <mergeCell ref="T3:U3"/>
    <mergeCell ref="V3:W3"/>
    <mergeCell ref="X3:Z3"/>
    <mergeCell ref="B2:G2"/>
    <mergeCell ref="H2:O2"/>
    <mergeCell ref="P2:U2"/>
    <mergeCell ref="V2:AB2"/>
    <mergeCell ref="B3:C3"/>
    <mergeCell ref="D3:F3"/>
    <mergeCell ref="G3:H3"/>
    <mergeCell ref="AA3:AB3"/>
  </mergeCells>
  <dataValidations>
    <dataValidation type="list" allowBlank="1" showErrorMessage="1" sqref="B24:AB24 B32:AB32">
      <formula1>"0%,100%"</formula1>
    </dataValidation>
  </dataValidation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34.0"/>
    <col customWidth="1" min="2" max="2" width="14.75"/>
    <col customWidth="1" min="5" max="5" width="14.0"/>
    <col customWidth="1" min="6" max="6" width="16.75"/>
    <col customWidth="1" min="28" max="28" width="13.5"/>
  </cols>
  <sheetData>
    <row r="1" ht="30.0" customHeight="1">
      <c r="A1" s="1" t="s">
        <v>594</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c r="AN2" s="12"/>
    </row>
    <row r="3">
      <c r="A3" s="6" t="s">
        <v>6</v>
      </c>
      <c r="B3" s="13" t="s">
        <v>7</v>
      </c>
      <c r="C3" s="14"/>
      <c r="D3" s="15" t="s">
        <v>8</v>
      </c>
      <c r="E3" s="9"/>
      <c r="F3" s="10" t="s">
        <v>9</v>
      </c>
      <c r="G3" s="9"/>
      <c r="H3" s="15" t="s">
        <v>10</v>
      </c>
      <c r="I3" s="9"/>
      <c r="J3" s="10" t="s">
        <v>11</v>
      </c>
      <c r="K3" s="8"/>
      <c r="L3" s="9"/>
      <c r="M3" s="16" t="s">
        <v>12</v>
      </c>
      <c r="N3" s="9"/>
      <c r="O3" s="10" t="s">
        <v>13</v>
      </c>
      <c r="P3" s="9"/>
      <c r="Q3" s="15" t="s">
        <v>14</v>
      </c>
      <c r="R3" s="9"/>
      <c r="S3" s="10" t="s">
        <v>15</v>
      </c>
      <c r="T3" s="9"/>
      <c r="U3" s="17" t="s">
        <v>16</v>
      </c>
      <c r="V3" s="9"/>
      <c r="W3" s="10" t="s">
        <v>17</v>
      </c>
      <c r="X3" s="8"/>
      <c r="Y3" s="9"/>
      <c r="Z3" s="16" t="s">
        <v>18</v>
      </c>
      <c r="AA3" s="9"/>
      <c r="AB3" s="12"/>
      <c r="AC3" s="12"/>
      <c r="AD3" s="12"/>
      <c r="AE3" s="12"/>
      <c r="AF3" s="12"/>
      <c r="AG3" s="12"/>
      <c r="AH3" s="12"/>
      <c r="AI3" s="12"/>
      <c r="AJ3" s="12"/>
      <c r="AK3" s="12"/>
      <c r="AL3" s="12"/>
      <c r="AM3" s="12"/>
      <c r="AN3" s="12"/>
    </row>
    <row r="4">
      <c r="A4" s="6" t="s">
        <v>19</v>
      </c>
      <c r="B4" s="392" t="s">
        <v>525</v>
      </c>
      <c r="C4" s="392" t="s">
        <v>526</v>
      </c>
      <c r="D4" s="392" t="s">
        <v>527</v>
      </c>
      <c r="E4" s="392" t="s">
        <v>528</v>
      </c>
      <c r="F4" s="392" t="s">
        <v>529</v>
      </c>
      <c r="G4" s="392" t="s">
        <v>530</v>
      </c>
      <c r="H4" s="392" t="s">
        <v>595</v>
      </c>
      <c r="I4" s="417" t="s">
        <v>532</v>
      </c>
      <c r="J4" s="417" t="s">
        <v>533</v>
      </c>
      <c r="K4" s="405" t="s">
        <v>534</v>
      </c>
      <c r="L4" s="405" t="s">
        <v>596</v>
      </c>
      <c r="M4" s="405" t="s">
        <v>536</v>
      </c>
      <c r="N4" s="418" t="s">
        <v>537</v>
      </c>
      <c r="O4" s="418" t="s">
        <v>538</v>
      </c>
      <c r="P4" s="419" t="s">
        <v>597</v>
      </c>
      <c r="Q4" s="419" t="s">
        <v>598</v>
      </c>
      <c r="R4" s="419" t="s">
        <v>599</v>
      </c>
      <c r="S4" s="419" t="s">
        <v>600</v>
      </c>
      <c r="T4" s="419" t="s">
        <v>601</v>
      </c>
      <c r="U4" s="419" t="s">
        <v>602</v>
      </c>
      <c r="V4" s="419" t="s">
        <v>603</v>
      </c>
      <c r="W4" s="19"/>
      <c r="X4" s="19"/>
      <c r="Y4" s="19"/>
      <c r="Z4" s="19"/>
      <c r="AA4" s="21"/>
      <c r="AB4" s="12"/>
      <c r="AC4" s="12"/>
      <c r="AD4" s="12"/>
      <c r="AE4" s="12"/>
      <c r="AF4" s="12"/>
      <c r="AG4" s="12"/>
      <c r="AH4" s="12"/>
      <c r="AI4" s="12"/>
      <c r="AJ4" s="12"/>
      <c r="AK4" s="12"/>
      <c r="AL4" s="12"/>
      <c r="AM4" s="12"/>
      <c r="AN4" s="12"/>
    </row>
    <row r="5">
      <c r="A5" s="22" t="s">
        <v>20</v>
      </c>
      <c r="B5" s="392" t="s">
        <v>485</v>
      </c>
      <c r="C5" s="392" t="s">
        <v>486</v>
      </c>
      <c r="D5" s="392" t="s">
        <v>487</v>
      </c>
      <c r="E5" s="392" t="s">
        <v>488</v>
      </c>
      <c r="F5" s="392" t="s">
        <v>489</v>
      </c>
      <c r="G5" s="392" t="s">
        <v>490</v>
      </c>
      <c r="H5" s="392" t="s">
        <v>491</v>
      </c>
      <c r="I5" s="392" t="s">
        <v>485</v>
      </c>
      <c r="J5" s="392" t="s">
        <v>547</v>
      </c>
      <c r="K5" s="392" t="s">
        <v>548</v>
      </c>
      <c r="L5" s="392" t="s">
        <v>549</v>
      </c>
      <c r="M5" s="392" t="s">
        <v>550</v>
      </c>
      <c r="N5" s="392" t="s">
        <v>551</v>
      </c>
      <c r="O5" s="392" t="s">
        <v>552</v>
      </c>
      <c r="P5" s="392" t="s">
        <v>553</v>
      </c>
      <c r="Q5" s="392" t="s">
        <v>604</v>
      </c>
      <c r="R5" s="392" t="s">
        <v>605</v>
      </c>
      <c r="S5" s="392" t="s">
        <v>606</v>
      </c>
      <c r="T5" s="392" t="s">
        <v>607</v>
      </c>
      <c r="U5" s="392" t="s">
        <v>265</v>
      </c>
      <c r="V5" s="392" t="s">
        <v>266</v>
      </c>
      <c r="W5" s="24" t="s">
        <v>267</v>
      </c>
      <c r="X5" s="24"/>
      <c r="Y5" s="24"/>
      <c r="Z5" s="25"/>
      <c r="AA5" s="25"/>
      <c r="AB5" s="27"/>
      <c r="AC5" s="28"/>
      <c r="AD5" s="28"/>
      <c r="AE5" s="28"/>
      <c r="AF5" s="28"/>
      <c r="AG5" s="28"/>
      <c r="AH5" s="28"/>
      <c r="AI5" s="28"/>
      <c r="AJ5" s="28"/>
      <c r="AK5" s="28"/>
      <c r="AL5" s="28"/>
      <c r="AM5" s="28"/>
      <c r="AN5" s="28"/>
    </row>
    <row r="6">
      <c r="A6" s="29"/>
      <c r="B6" s="30"/>
      <c r="U6" s="31"/>
    </row>
    <row r="7">
      <c r="A7" s="32" t="s">
        <v>21</v>
      </c>
      <c r="B7" s="33">
        <v>93.0</v>
      </c>
      <c r="C7" s="34">
        <v>71.0</v>
      </c>
      <c r="D7" s="34">
        <v>107.0</v>
      </c>
      <c r="E7" s="34">
        <v>149.0</v>
      </c>
      <c r="F7" s="34">
        <v>127.0</v>
      </c>
      <c r="G7" s="34">
        <v>149.0</v>
      </c>
      <c r="H7" s="34">
        <v>123.0</v>
      </c>
      <c r="I7" s="34">
        <v>97.0</v>
      </c>
      <c r="J7" s="34">
        <v>137.0</v>
      </c>
      <c r="K7" s="34">
        <v>90.0</v>
      </c>
      <c r="L7" s="34">
        <v>91.0</v>
      </c>
      <c r="M7" s="34">
        <v>153.0</v>
      </c>
      <c r="N7" s="34">
        <v>91.0</v>
      </c>
      <c r="O7" s="34">
        <v>120.0</v>
      </c>
      <c r="P7" s="39">
        <v>139.0</v>
      </c>
      <c r="Q7" s="34">
        <v>124.0</v>
      </c>
      <c r="R7" s="34">
        <v>94.0</v>
      </c>
      <c r="S7" s="34">
        <v>109.0</v>
      </c>
      <c r="T7" s="35">
        <v>157.0</v>
      </c>
      <c r="U7" s="36">
        <v>119.0</v>
      </c>
      <c r="V7" s="34">
        <v>129.0</v>
      </c>
      <c r="W7" s="34"/>
      <c r="X7" s="34"/>
      <c r="Y7" s="34"/>
      <c r="Z7" s="34"/>
      <c r="AA7" s="34"/>
    </row>
    <row r="8">
      <c r="A8" s="37" t="s">
        <v>22</v>
      </c>
      <c r="B8" s="38">
        <v>93.0</v>
      </c>
      <c r="C8" s="39">
        <v>65.0</v>
      </c>
      <c r="D8" s="39">
        <v>82.0</v>
      </c>
      <c r="E8" s="39">
        <v>108.0</v>
      </c>
      <c r="F8" s="39">
        <v>115.0</v>
      </c>
      <c r="G8" s="39">
        <v>134.0</v>
      </c>
      <c r="H8" s="39">
        <v>101.0</v>
      </c>
      <c r="I8" s="39">
        <v>82.0</v>
      </c>
      <c r="J8" s="39">
        <v>109.0</v>
      </c>
      <c r="K8" s="39">
        <v>81.0</v>
      </c>
      <c r="L8" s="39">
        <v>84.0</v>
      </c>
      <c r="M8" s="39">
        <v>123.0</v>
      </c>
      <c r="N8" s="39">
        <v>89.0</v>
      </c>
      <c r="O8" s="39">
        <v>86.0</v>
      </c>
      <c r="P8" s="39">
        <v>114.0</v>
      </c>
      <c r="Q8" s="39">
        <v>103.0</v>
      </c>
      <c r="R8" s="39">
        <v>75.0</v>
      </c>
      <c r="S8" s="39">
        <v>101.0</v>
      </c>
      <c r="T8" s="40">
        <v>144.0</v>
      </c>
      <c r="U8" s="41">
        <v>94.0</v>
      </c>
      <c r="V8" s="39">
        <v>112.0</v>
      </c>
      <c r="W8" s="39">
        <v>145.0</v>
      </c>
      <c r="X8" s="39"/>
      <c r="Y8" s="39"/>
      <c r="Z8" s="39"/>
      <c r="AA8" s="39"/>
    </row>
    <row r="9">
      <c r="A9" s="37" t="s">
        <v>23</v>
      </c>
      <c r="B9" s="38">
        <v>0.0</v>
      </c>
      <c r="C9" s="39">
        <v>6.0</v>
      </c>
      <c r="D9" s="39">
        <v>25.0</v>
      </c>
      <c r="E9" s="39">
        <v>41.0</v>
      </c>
      <c r="F9" s="39">
        <v>12.0</v>
      </c>
      <c r="G9" s="39">
        <v>15.0</v>
      </c>
      <c r="H9" s="39">
        <v>22.0</v>
      </c>
      <c r="I9" s="39">
        <v>15.0</v>
      </c>
      <c r="J9" s="39">
        <v>25.0</v>
      </c>
      <c r="K9" s="39">
        <v>9.0</v>
      </c>
      <c r="L9" s="39">
        <v>7.0</v>
      </c>
      <c r="M9" s="39">
        <v>30.0</v>
      </c>
      <c r="N9" s="39">
        <v>2.0</v>
      </c>
      <c r="O9" s="39">
        <v>34.0</v>
      </c>
      <c r="P9" s="199">
        <v>26.0</v>
      </c>
      <c r="Q9" s="39">
        <v>21.0</v>
      </c>
      <c r="R9" s="39">
        <v>19.0</v>
      </c>
      <c r="S9" s="39">
        <v>8.0</v>
      </c>
      <c r="T9" s="40">
        <v>13.0</v>
      </c>
      <c r="U9" s="41">
        <v>52.0</v>
      </c>
      <c r="V9" s="41">
        <v>17.0</v>
      </c>
      <c r="W9" s="41"/>
      <c r="X9" s="41"/>
      <c r="Y9" s="41"/>
      <c r="Z9" s="41"/>
      <c r="AA9" s="41"/>
    </row>
    <row r="10">
      <c r="A10" s="42" t="s">
        <v>24</v>
      </c>
      <c r="B10" s="43">
        <f t="shared" ref="B10:V10" si="1">IFERROR(B9/B7, 0)</f>
        <v>0</v>
      </c>
      <c r="C10" s="43">
        <f t="shared" si="1"/>
        <v>0.08450704225</v>
      </c>
      <c r="D10" s="43">
        <f t="shared" si="1"/>
        <v>0.2336448598</v>
      </c>
      <c r="E10" s="43">
        <f t="shared" si="1"/>
        <v>0.2751677852</v>
      </c>
      <c r="F10" s="43">
        <f t="shared" si="1"/>
        <v>0.09448818898</v>
      </c>
      <c r="G10" s="43">
        <f t="shared" si="1"/>
        <v>0.1006711409</v>
      </c>
      <c r="H10" s="43">
        <f t="shared" si="1"/>
        <v>0.1788617886</v>
      </c>
      <c r="I10" s="43">
        <f t="shared" si="1"/>
        <v>0.1546391753</v>
      </c>
      <c r="J10" s="43">
        <f t="shared" si="1"/>
        <v>0.1824817518</v>
      </c>
      <c r="K10" s="43">
        <f t="shared" si="1"/>
        <v>0.1</v>
      </c>
      <c r="L10" s="43">
        <f t="shared" si="1"/>
        <v>0.07692307692</v>
      </c>
      <c r="M10" s="43">
        <f t="shared" si="1"/>
        <v>0.1960784314</v>
      </c>
      <c r="N10" s="43">
        <f t="shared" si="1"/>
        <v>0.02197802198</v>
      </c>
      <c r="O10" s="43">
        <f t="shared" si="1"/>
        <v>0.2833333333</v>
      </c>
      <c r="P10" s="43">
        <f t="shared" si="1"/>
        <v>0.1870503597</v>
      </c>
      <c r="Q10" s="43">
        <f t="shared" si="1"/>
        <v>0.1693548387</v>
      </c>
      <c r="R10" s="43">
        <f t="shared" si="1"/>
        <v>0.2021276596</v>
      </c>
      <c r="S10" s="43">
        <f t="shared" si="1"/>
        <v>0.07339449541</v>
      </c>
      <c r="T10" s="43">
        <f t="shared" si="1"/>
        <v>0.08280254777</v>
      </c>
      <c r="U10" s="43">
        <f t="shared" si="1"/>
        <v>0.4369747899</v>
      </c>
      <c r="V10" s="43">
        <f t="shared" si="1"/>
        <v>0.1317829457</v>
      </c>
      <c r="W10" s="43"/>
      <c r="X10" s="45"/>
      <c r="Y10" s="45"/>
      <c r="Z10" s="45"/>
      <c r="AA10" s="45"/>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row>
    <row r="12">
      <c r="A12" s="48" t="s">
        <v>25</v>
      </c>
      <c r="B12" s="49">
        <v>10.0</v>
      </c>
      <c r="C12" s="50">
        <v>9.0</v>
      </c>
      <c r="D12" s="50">
        <v>15.0</v>
      </c>
      <c r="E12" s="50">
        <v>35.0</v>
      </c>
      <c r="F12" s="50">
        <v>26.0</v>
      </c>
      <c r="G12" s="50">
        <v>17.0</v>
      </c>
      <c r="H12" s="50">
        <v>25.0</v>
      </c>
      <c r="I12" s="50">
        <v>23.0</v>
      </c>
      <c r="J12" s="50">
        <v>15.0</v>
      </c>
      <c r="K12" s="50">
        <v>32.0</v>
      </c>
      <c r="L12" s="50">
        <v>9.0</v>
      </c>
      <c r="M12" s="50">
        <v>25.0</v>
      </c>
      <c r="N12" s="50">
        <v>15.0</v>
      </c>
      <c r="O12" s="50">
        <v>23.0</v>
      </c>
      <c r="P12" s="50">
        <v>25.0</v>
      </c>
      <c r="Q12" s="50">
        <v>50.0</v>
      </c>
      <c r="R12" s="50">
        <v>35.0</v>
      </c>
      <c r="S12" s="50">
        <v>16.0</v>
      </c>
      <c r="T12" s="51">
        <v>4.0</v>
      </c>
      <c r="U12" s="52">
        <v>28.0</v>
      </c>
      <c r="V12" s="50">
        <v>12.0</v>
      </c>
      <c r="W12" s="50"/>
      <c r="X12" s="50"/>
      <c r="Y12" s="50"/>
      <c r="Z12" s="50"/>
      <c r="AA12" s="50"/>
    </row>
    <row r="13">
      <c r="A13" s="53" t="s">
        <v>26</v>
      </c>
      <c r="B13" s="54">
        <v>18.0</v>
      </c>
      <c r="C13" s="55">
        <v>12.0</v>
      </c>
      <c r="D13" s="55">
        <v>26.0</v>
      </c>
      <c r="E13" s="55">
        <v>21.0</v>
      </c>
      <c r="F13" s="55">
        <v>29.0</v>
      </c>
      <c r="G13" s="55">
        <v>20.0</v>
      </c>
      <c r="H13" s="55">
        <v>20.0</v>
      </c>
      <c r="I13" s="55">
        <v>26.0</v>
      </c>
      <c r="J13" s="55">
        <v>28.0</v>
      </c>
      <c r="K13" s="55">
        <v>26.0</v>
      </c>
      <c r="L13" s="55">
        <v>14.0</v>
      </c>
      <c r="M13" s="55">
        <v>28.0</v>
      </c>
      <c r="N13" s="55">
        <v>13.0</v>
      </c>
      <c r="O13" s="55">
        <v>18.0</v>
      </c>
      <c r="P13" s="55">
        <v>19.0</v>
      </c>
      <c r="Q13" s="55">
        <v>43.0</v>
      </c>
      <c r="R13" s="55">
        <v>35.0</v>
      </c>
      <c r="S13" s="55">
        <v>16.0</v>
      </c>
      <c r="T13" s="56">
        <v>21.0</v>
      </c>
      <c r="U13" s="57">
        <v>23.0</v>
      </c>
      <c r="V13" s="55">
        <v>14.0</v>
      </c>
      <c r="W13" s="55">
        <v>11.0</v>
      </c>
      <c r="X13" s="55"/>
      <c r="Y13" s="55"/>
      <c r="Z13" s="55"/>
      <c r="AA13" s="55"/>
    </row>
    <row r="14">
      <c r="A14" s="58" t="s">
        <v>27</v>
      </c>
      <c r="B14" s="59">
        <v>0.0</v>
      </c>
      <c r="C14" s="60">
        <v>6.0</v>
      </c>
      <c r="D14" s="60">
        <v>5.0</v>
      </c>
      <c r="E14" s="60">
        <v>14.0</v>
      </c>
      <c r="F14" s="60">
        <v>0.0</v>
      </c>
      <c r="G14" s="60"/>
      <c r="H14" s="60">
        <v>12.0</v>
      </c>
      <c r="I14" s="60">
        <v>5.0</v>
      </c>
      <c r="J14" s="60">
        <v>0.0</v>
      </c>
      <c r="K14" s="60">
        <v>9.0</v>
      </c>
      <c r="L14" s="60">
        <v>3.0</v>
      </c>
      <c r="M14" s="60">
        <v>5.0</v>
      </c>
      <c r="N14" s="60">
        <v>2.0</v>
      </c>
      <c r="O14" s="60">
        <v>10.0</v>
      </c>
      <c r="P14" s="60">
        <v>9.0</v>
      </c>
      <c r="Q14" s="60">
        <v>10.0</v>
      </c>
      <c r="R14" s="60">
        <v>0.0</v>
      </c>
      <c r="S14" s="60">
        <v>0.0</v>
      </c>
      <c r="T14" s="61">
        <v>6.0</v>
      </c>
      <c r="U14" s="62">
        <v>5.0</v>
      </c>
      <c r="V14" s="60">
        <v>9.0</v>
      </c>
      <c r="W14" s="60"/>
      <c r="X14" s="60"/>
      <c r="Y14" s="60"/>
      <c r="Z14" s="60"/>
      <c r="AA14" s="60"/>
    </row>
    <row r="15">
      <c r="A15" s="56"/>
      <c r="B15" s="63"/>
      <c r="C15" s="56"/>
      <c r="D15" s="56"/>
      <c r="E15" s="56"/>
      <c r="F15" s="56"/>
      <c r="G15" s="56"/>
      <c r="H15" s="56"/>
      <c r="I15" s="56"/>
      <c r="J15" s="56"/>
      <c r="K15" s="56"/>
      <c r="L15" s="56"/>
      <c r="M15" s="56"/>
      <c r="N15" s="56"/>
      <c r="O15" s="56"/>
      <c r="P15" s="56"/>
      <c r="Q15" s="56"/>
      <c r="R15" s="56"/>
      <c r="S15" s="56"/>
      <c r="T15" s="56"/>
      <c r="U15" s="64"/>
      <c r="V15" s="56"/>
      <c r="W15" s="56"/>
      <c r="X15" s="56"/>
      <c r="Y15" s="56"/>
      <c r="Z15" s="56"/>
      <c r="AA15" s="56"/>
    </row>
    <row r="16">
      <c r="A16" s="65" t="s">
        <v>28</v>
      </c>
      <c r="B16" s="66"/>
      <c r="C16" s="65"/>
      <c r="D16" s="65"/>
      <c r="E16" s="65"/>
      <c r="F16" s="65"/>
      <c r="G16" s="65"/>
      <c r="H16" s="65"/>
      <c r="I16" s="65"/>
      <c r="J16" s="65"/>
      <c r="K16" s="65"/>
      <c r="L16" s="65"/>
      <c r="M16" s="65"/>
      <c r="N16" s="65"/>
      <c r="O16" s="65"/>
      <c r="P16" s="65"/>
      <c r="Q16" s="65"/>
      <c r="R16" s="65"/>
      <c r="S16" s="65"/>
      <c r="T16" s="67"/>
      <c r="U16" s="68"/>
      <c r="V16" s="65"/>
      <c r="W16" s="65"/>
      <c r="X16" s="65"/>
      <c r="Y16" s="65"/>
      <c r="Z16" s="65"/>
      <c r="AA16" s="65"/>
    </row>
    <row r="17">
      <c r="A17" s="65" t="s">
        <v>29</v>
      </c>
      <c r="B17" s="66"/>
      <c r="C17" s="65"/>
      <c r="D17" s="65"/>
      <c r="E17" s="65"/>
      <c r="F17" s="65"/>
      <c r="G17" s="65"/>
      <c r="H17" s="65"/>
      <c r="I17" s="65"/>
      <c r="J17" s="65"/>
      <c r="K17" s="65"/>
      <c r="L17" s="65"/>
      <c r="M17" s="65"/>
      <c r="N17" s="65"/>
      <c r="O17" s="65"/>
      <c r="P17" s="65"/>
      <c r="Q17" s="65"/>
      <c r="R17" s="65"/>
      <c r="S17" s="65"/>
      <c r="T17" s="67"/>
      <c r="U17" s="68"/>
      <c r="V17" s="65"/>
      <c r="W17" s="65"/>
      <c r="X17" s="65"/>
      <c r="Y17" s="65"/>
      <c r="Z17" s="65"/>
      <c r="AA17" s="65"/>
    </row>
    <row r="18">
      <c r="A18" s="69" t="s">
        <v>30</v>
      </c>
      <c r="B18" s="70">
        <v>37.0</v>
      </c>
      <c r="C18" s="69">
        <v>31.0</v>
      </c>
      <c r="D18" s="69">
        <v>54.0</v>
      </c>
      <c r="E18" s="69">
        <v>86.0</v>
      </c>
      <c r="F18" s="69">
        <v>95.0</v>
      </c>
      <c r="G18" s="69">
        <v>110.0</v>
      </c>
      <c r="H18" s="69">
        <v>98.0</v>
      </c>
      <c r="I18" s="69">
        <v>76.0</v>
      </c>
      <c r="J18" s="69">
        <v>62.0</v>
      </c>
      <c r="K18" s="69">
        <v>62.0</v>
      </c>
      <c r="L18" s="69">
        <v>40.0</v>
      </c>
      <c r="M18" s="69">
        <v>123.0</v>
      </c>
      <c r="N18" s="69">
        <v>73.0</v>
      </c>
      <c r="O18" s="69">
        <v>42.0</v>
      </c>
      <c r="P18" s="69">
        <v>112.0</v>
      </c>
      <c r="Q18" s="69">
        <v>115.0</v>
      </c>
      <c r="R18" s="69">
        <v>80.0</v>
      </c>
      <c r="S18" s="69">
        <v>60.0</v>
      </c>
      <c r="T18" s="69">
        <v>58.0</v>
      </c>
      <c r="U18" s="71">
        <v>81.0</v>
      </c>
      <c r="V18" s="69">
        <v>48.0</v>
      </c>
      <c r="W18" s="69"/>
      <c r="X18" s="69"/>
      <c r="Y18" s="69"/>
      <c r="Z18" s="69"/>
      <c r="AA18" s="72"/>
      <c r="AB18" s="73"/>
      <c r="AC18" s="73"/>
      <c r="AD18" s="73"/>
      <c r="AE18" s="73"/>
      <c r="AF18" s="73"/>
      <c r="AG18" s="73"/>
      <c r="AH18" s="73"/>
      <c r="AI18" s="73"/>
      <c r="AJ18" s="73"/>
      <c r="AK18" s="73"/>
      <c r="AL18" s="73"/>
      <c r="AM18" s="73"/>
      <c r="AN18" s="73"/>
    </row>
    <row r="19">
      <c r="A19" s="74" t="s">
        <v>31</v>
      </c>
      <c r="B19" s="75">
        <v>37.0</v>
      </c>
      <c r="C19" s="74">
        <v>31.0</v>
      </c>
      <c r="D19" s="74">
        <v>67.0</v>
      </c>
      <c r="E19" s="74">
        <v>104.0</v>
      </c>
      <c r="F19" s="74">
        <v>116.0</v>
      </c>
      <c r="G19" s="74">
        <v>128.0</v>
      </c>
      <c r="H19" s="74">
        <v>110.0</v>
      </c>
      <c r="I19" s="74">
        <v>76.0</v>
      </c>
      <c r="J19" s="74">
        <v>67.0</v>
      </c>
      <c r="K19" s="74">
        <v>62.0</v>
      </c>
      <c r="L19" s="74">
        <v>48.0</v>
      </c>
      <c r="M19" s="74">
        <v>123.0</v>
      </c>
      <c r="N19" s="74">
        <v>73.0</v>
      </c>
      <c r="O19" s="74">
        <v>57.0</v>
      </c>
      <c r="P19" s="74">
        <v>116.0</v>
      </c>
      <c r="Q19" s="69">
        <v>121.0</v>
      </c>
      <c r="R19" s="74">
        <v>83.0</v>
      </c>
      <c r="S19" s="74">
        <v>88.0</v>
      </c>
      <c r="T19" s="74">
        <v>71.0</v>
      </c>
      <c r="U19" s="76">
        <v>101.0</v>
      </c>
      <c r="V19" s="74">
        <v>71.0</v>
      </c>
      <c r="W19" s="74"/>
      <c r="X19" s="74"/>
      <c r="Y19" s="74"/>
      <c r="Z19" s="74"/>
      <c r="AA19" s="77"/>
      <c r="AB19" s="78"/>
      <c r="AC19" s="78"/>
      <c r="AD19" s="78"/>
      <c r="AE19" s="78"/>
      <c r="AF19" s="78"/>
      <c r="AG19" s="78"/>
      <c r="AH19" s="78"/>
      <c r="AI19" s="78"/>
      <c r="AJ19" s="78"/>
      <c r="AK19" s="78"/>
      <c r="AL19" s="78"/>
      <c r="AM19" s="78"/>
      <c r="AN19" s="78"/>
    </row>
    <row r="20">
      <c r="A20" s="69" t="s">
        <v>32</v>
      </c>
      <c r="B20" s="70">
        <v>15.0</v>
      </c>
      <c r="C20" s="69">
        <v>23.0</v>
      </c>
      <c r="D20" s="69">
        <v>42.0</v>
      </c>
      <c r="E20" s="69">
        <v>33.0</v>
      </c>
      <c r="F20" s="69">
        <v>63.0</v>
      </c>
      <c r="G20" s="69">
        <v>99.0</v>
      </c>
      <c r="H20" s="69">
        <v>78.0</v>
      </c>
      <c r="I20" s="69">
        <v>57.0</v>
      </c>
      <c r="J20" s="69">
        <v>19.0</v>
      </c>
      <c r="K20" s="69">
        <v>28.0</v>
      </c>
      <c r="L20" s="69">
        <v>30.0</v>
      </c>
      <c r="M20" s="69">
        <v>101.0</v>
      </c>
      <c r="N20" s="74">
        <v>24.0</v>
      </c>
      <c r="O20" s="69">
        <v>14.0</v>
      </c>
      <c r="P20" s="69">
        <v>92.0</v>
      </c>
      <c r="Q20" s="69">
        <v>71.0</v>
      </c>
      <c r="R20" s="69">
        <v>66.0</v>
      </c>
      <c r="S20" s="69">
        <v>45.0</v>
      </c>
      <c r="T20" s="69">
        <v>56.0</v>
      </c>
      <c r="U20" s="71">
        <v>68.0</v>
      </c>
      <c r="V20" s="69">
        <v>11.0</v>
      </c>
      <c r="W20" s="69"/>
      <c r="X20" s="69"/>
      <c r="Y20" s="69"/>
      <c r="Z20" s="69"/>
      <c r="AA20" s="72"/>
      <c r="AB20" s="73"/>
      <c r="AC20" s="73"/>
      <c r="AD20" s="73"/>
      <c r="AE20" s="73"/>
      <c r="AF20" s="73"/>
      <c r="AG20" s="73"/>
      <c r="AH20" s="73"/>
      <c r="AI20" s="73"/>
      <c r="AJ20" s="73"/>
      <c r="AK20" s="73"/>
      <c r="AL20" s="73"/>
      <c r="AM20" s="73"/>
      <c r="AN20" s="73"/>
    </row>
    <row r="21">
      <c r="A21" s="79" t="s">
        <v>33</v>
      </c>
      <c r="B21" s="80">
        <v>56.0</v>
      </c>
      <c r="C21" s="80">
        <v>40.0</v>
      </c>
      <c r="D21" s="80">
        <v>40.0</v>
      </c>
      <c r="E21" s="80">
        <v>45.0</v>
      </c>
      <c r="F21" s="79">
        <v>11.0</v>
      </c>
      <c r="G21" s="79">
        <v>21.0</v>
      </c>
      <c r="H21" s="79">
        <v>13.0</v>
      </c>
      <c r="I21" s="79">
        <v>21.0</v>
      </c>
      <c r="J21" s="79">
        <v>70.0</v>
      </c>
      <c r="K21" s="79">
        <v>28.0</v>
      </c>
      <c r="L21" s="79">
        <v>43.0</v>
      </c>
      <c r="M21" s="79">
        <v>30.0</v>
      </c>
      <c r="N21" s="79">
        <v>18.0</v>
      </c>
      <c r="O21" s="79">
        <v>63.0</v>
      </c>
      <c r="P21" s="79">
        <v>23.0</v>
      </c>
      <c r="Q21" s="79">
        <v>3.0</v>
      </c>
      <c r="R21" s="79">
        <v>11.0</v>
      </c>
      <c r="S21" s="79">
        <v>21.0</v>
      </c>
      <c r="T21" s="81">
        <v>86.0</v>
      </c>
      <c r="U21" s="79">
        <v>18.0</v>
      </c>
      <c r="V21" s="79">
        <v>58.0</v>
      </c>
      <c r="W21" s="79"/>
      <c r="X21" s="79"/>
      <c r="Y21" s="79"/>
      <c r="Z21" s="79"/>
      <c r="AA21" s="79"/>
    </row>
    <row r="22">
      <c r="A22" s="82" t="s">
        <v>34</v>
      </c>
      <c r="B22" s="83">
        <v>93.0</v>
      </c>
      <c r="C22" s="83">
        <v>65.0</v>
      </c>
      <c r="D22" s="85">
        <v>69.0</v>
      </c>
      <c r="E22" s="85">
        <v>108.0</v>
      </c>
      <c r="F22" s="85">
        <v>102.0</v>
      </c>
      <c r="G22" s="85">
        <v>129.0</v>
      </c>
      <c r="H22" s="85">
        <v>89.0</v>
      </c>
      <c r="I22" s="85">
        <v>82.0</v>
      </c>
      <c r="J22" s="85">
        <v>112.0</v>
      </c>
      <c r="K22" s="85">
        <v>81.0</v>
      </c>
      <c r="L22" s="85">
        <v>71.0</v>
      </c>
      <c r="M22" s="85">
        <v>123.0</v>
      </c>
      <c r="N22" s="85">
        <v>89.0</v>
      </c>
      <c r="O22" s="85">
        <v>81.0</v>
      </c>
      <c r="P22" s="85">
        <v>104.0</v>
      </c>
      <c r="Q22" s="69">
        <v>97.0</v>
      </c>
      <c r="R22" s="85">
        <v>72.0</v>
      </c>
      <c r="S22" s="85">
        <v>79.0</v>
      </c>
      <c r="T22" s="85">
        <v>105.0</v>
      </c>
      <c r="U22" s="86">
        <v>62.0</v>
      </c>
      <c r="V22" s="85">
        <v>87.0</v>
      </c>
      <c r="W22" s="85">
        <v>120.0</v>
      </c>
      <c r="X22" s="85"/>
      <c r="Y22" s="85"/>
      <c r="Z22" s="85"/>
      <c r="AA22" s="87"/>
      <c r="AB22" s="87"/>
      <c r="AC22" s="88"/>
      <c r="AD22" s="88"/>
      <c r="AE22" s="88"/>
      <c r="AF22" s="88"/>
      <c r="AG22" s="88"/>
      <c r="AH22" s="88"/>
      <c r="AI22" s="88"/>
      <c r="AJ22" s="88"/>
      <c r="AK22" s="88"/>
      <c r="AL22" s="88"/>
      <c r="AM22" s="89"/>
      <c r="AN22" s="88"/>
    </row>
    <row r="23">
      <c r="A23" s="90" t="s">
        <v>35</v>
      </c>
      <c r="B23" s="395" t="s">
        <v>608</v>
      </c>
      <c r="C23" s="395" t="s">
        <v>609</v>
      </c>
      <c r="D23" s="394" t="s">
        <v>610</v>
      </c>
      <c r="E23" s="397" t="s">
        <v>611</v>
      </c>
      <c r="F23" s="394" t="s">
        <v>612</v>
      </c>
      <c r="G23" s="397" t="s">
        <v>613</v>
      </c>
      <c r="H23" s="397" t="s">
        <v>614</v>
      </c>
      <c r="I23" s="397" t="s">
        <v>615</v>
      </c>
      <c r="J23" s="395" t="s">
        <v>616</v>
      </c>
      <c r="K23" s="397" t="s">
        <v>617</v>
      </c>
      <c r="L23" s="395" t="s">
        <v>618</v>
      </c>
      <c r="M23" s="395" t="s">
        <v>619</v>
      </c>
      <c r="N23" s="397" t="s">
        <v>620</v>
      </c>
      <c r="O23" s="395" t="s">
        <v>621</v>
      </c>
      <c r="P23" s="397" t="s">
        <v>622</v>
      </c>
      <c r="Q23" s="397" t="s">
        <v>623</v>
      </c>
      <c r="R23" s="397" t="s">
        <v>624</v>
      </c>
      <c r="S23" s="397" t="s">
        <v>625</v>
      </c>
      <c r="T23" s="395" t="s">
        <v>626</v>
      </c>
      <c r="U23" s="397" t="s">
        <v>627</v>
      </c>
      <c r="V23" s="397" t="s">
        <v>628</v>
      </c>
      <c r="W23" s="91"/>
      <c r="X23" s="91"/>
      <c r="Y23" s="91"/>
      <c r="Z23" s="91"/>
      <c r="AA23" s="91"/>
      <c r="AB23" s="94"/>
      <c r="AC23" s="95"/>
      <c r="AD23" s="95"/>
      <c r="AE23" s="95"/>
      <c r="AF23" s="95"/>
      <c r="AG23" s="95"/>
      <c r="AH23" s="95"/>
      <c r="AI23" s="95"/>
      <c r="AJ23" s="95"/>
      <c r="AK23" s="95"/>
      <c r="AL23" s="95"/>
      <c r="AM23" s="95"/>
      <c r="AN23" s="95"/>
    </row>
    <row r="24">
      <c r="A24" s="96" t="s">
        <v>36</v>
      </c>
      <c r="B24" s="97">
        <v>0.0</v>
      </c>
      <c r="C24" s="98">
        <v>0.0</v>
      </c>
      <c r="D24" s="97">
        <v>1.0</v>
      </c>
      <c r="E24" s="97">
        <v>1.0</v>
      </c>
      <c r="F24" s="97">
        <v>1.0</v>
      </c>
      <c r="G24" s="97">
        <v>1.0</v>
      </c>
      <c r="H24" s="97">
        <v>1.0</v>
      </c>
      <c r="I24" s="97">
        <v>1.0</v>
      </c>
      <c r="J24" s="98">
        <v>0.0</v>
      </c>
      <c r="K24" s="97">
        <v>1.0</v>
      </c>
      <c r="L24" s="98">
        <v>0.0</v>
      </c>
      <c r="M24" s="98">
        <v>0.0</v>
      </c>
      <c r="N24" s="97">
        <v>1.0</v>
      </c>
      <c r="O24" s="98">
        <v>0.0</v>
      </c>
      <c r="P24" s="97">
        <v>1.0</v>
      </c>
      <c r="Q24" s="97">
        <v>1.0</v>
      </c>
      <c r="R24" s="97">
        <v>1.0</v>
      </c>
      <c r="S24" s="97">
        <v>1.0</v>
      </c>
      <c r="T24" s="98">
        <v>0.0</v>
      </c>
      <c r="U24" s="97">
        <v>1.0</v>
      </c>
      <c r="V24" s="97">
        <v>1.0</v>
      </c>
      <c r="W24" s="98">
        <v>0.0</v>
      </c>
      <c r="X24" s="98">
        <v>0.0</v>
      </c>
      <c r="Y24" s="98">
        <v>0.0</v>
      </c>
      <c r="Z24" s="98">
        <v>0.0</v>
      </c>
      <c r="AA24" s="98">
        <v>0.0</v>
      </c>
      <c r="AB24" s="99"/>
      <c r="AC24" s="100"/>
      <c r="AD24" s="100"/>
      <c r="AE24" s="100"/>
      <c r="AF24" s="100"/>
      <c r="AG24" s="100"/>
      <c r="AH24" s="100"/>
      <c r="AI24" s="100"/>
      <c r="AJ24" s="100"/>
      <c r="AK24" s="100"/>
      <c r="AL24" s="100"/>
      <c r="AM24" s="100"/>
      <c r="AN24" s="100"/>
    </row>
    <row r="25">
      <c r="A25" s="101" t="s">
        <v>37</v>
      </c>
      <c r="B25" s="102">
        <f t="shared" ref="B25:V25" si="2">IFERROR(B19/B8, 0)</f>
        <v>0.3978494624</v>
      </c>
      <c r="C25" s="102">
        <f t="shared" si="2"/>
        <v>0.4769230769</v>
      </c>
      <c r="D25" s="102">
        <f t="shared" si="2"/>
        <v>0.8170731707</v>
      </c>
      <c r="E25" s="102">
        <f t="shared" si="2"/>
        <v>0.962962963</v>
      </c>
      <c r="F25" s="102">
        <f t="shared" si="2"/>
        <v>1.008695652</v>
      </c>
      <c r="G25" s="102">
        <f t="shared" si="2"/>
        <v>0.9552238806</v>
      </c>
      <c r="H25" s="102">
        <f t="shared" si="2"/>
        <v>1.089108911</v>
      </c>
      <c r="I25" s="102">
        <f t="shared" si="2"/>
        <v>0.9268292683</v>
      </c>
      <c r="J25" s="102">
        <f t="shared" si="2"/>
        <v>0.6146788991</v>
      </c>
      <c r="K25" s="102">
        <f t="shared" si="2"/>
        <v>0.7654320988</v>
      </c>
      <c r="L25" s="102">
        <f t="shared" si="2"/>
        <v>0.5714285714</v>
      </c>
      <c r="M25" s="102">
        <f t="shared" si="2"/>
        <v>1</v>
      </c>
      <c r="N25" s="102">
        <f t="shared" si="2"/>
        <v>0.8202247191</v>
      </c>
      <c r="O25" s="102">
        <f t="shared" si="2"/>
        <v>0.6627906977</v>
      </c>
      <c r="P25" s="102">
        <f t="shared" si="2"/>
        <v>1.01754386</v>
      </c>
      <c r="Q25" s="102">
        <f t="shared" si="2"/>
        <v>1.174757282</v>
      </c>
      <c r="R25" s="102">
        <f t="shared" si="2"/>
        <v>1.106666667</v>
      </c>
      <c r="S25" s="102">
        <f t="shared" si="2"/>
        <v>0.8712871287</v>
      </c>
      <c r="T25" s="102">
        <f t="shared" si="2"/>
        <v>0.4930555556</v>
      </c>
      <c r="U25" s="102">
        <f t="shared" si="2"/>
        <v>1.074468085</v>
      </c>
      <c r="V25" s="102">
        <f t="shared" si="2"/>
        <v>0.6339285714</v>
      </c>
      <c r="W25" s="103"/>
      <c r="X25" s="103"/>
      <c r="Y25" s="103"/>
      <c r="Z25" s="103"/>
      <c r="AA25" s="103"/>
    </row>
    <row r="26">
      <c r="A26" s="105" t="s">
        <v>38</v>
      </c>
      <c r="B26" s="106">
        <f t="shared" ref="B26:V26" si="3">IFERROR(B12/B18, 0)</f>
        <v>0.2702702703</v>
      </c>
      <c r="C26" s="106">
        <f t="shared" si="3"/>
        <v>0.2903225806</v>
      </c>
      <c r="D26" s="106">
        <f t="shared" si="3"/>
        <v>0.2777777778</v>
      </c>
      <c r="E26" s="106">
        <f t="shared" si="3"/>
        <v>0.4069767442</v>
      </c>
      <c r="F26" s="106">
        <f t="shared" si="3"/>
        <v>0.2736842105</v>
      </c>
      <c r="G26" s="106">
        <f t="shared" si="3"/>
        <v>0.1545454545</v>
      </c>
      <c r="H26" s="106">
        <f t="shared" si="3"/>
        <v>0.2551020408</v>
      </c>
      <c r="I26" s="106">
        <f t="shared" si="3"/>
        <v>0.3026315789</v>
      </c>
      <c r="J26" s="106">
        <f t="shared" si="3"/>
        <v>0.2419354839</v>
      </c>
      <c r="K26" s="106">
        <f t="shared" si="3"/>
        <v>0.5161290323</v>
      </c>
      <c r="L26" s="106">
        <f t="shared" si="3"/>
        <v>0.225</v>
      </c>
      <c r="M26" s="106">
        <f t="shared" si="3"/>
        <v>0.2032520325</v>
      </c>
      <c r="N26" s="106">
        <f t="shared" si="3"/>
        <v>0.2054794521</v>
      </c>
      <c r="O26" s="106">
        <f t="shared" si="3"/>
        <v>0.5476190476</v>
      </c>
      <c r="P26" s="106">
        <f t="shared" si="3"/>
        <v>0.2232142857</v>
      </c>
      <c r="Q26" s="106">
        <f t="shared" si="3"/>
        <v>0.4347826087</v>
      </c>
      <c r="R26" s="106">
        <f t="shared" si="3"/>
        <v>0.4375</v>
      </c>
      <c r="S26" s="106">
        <f t="shared" si="3"/>
        <v>0.2666666667</v>
      </c>
      <c r="T26" s="106">
        <f t="shared" si="3"/>
        <v>0.06896551724</v>
      </c>
      <c r="U26" s="106">
        <f t="shared" si="3"/>
        <v>0.3456790123</v>
      </c>
      <c r="V26" s="106">
        <f t="shared" si="3"/>
        <v>0.25</v>
      </c>
      <c r="W26" s="107"/>
      <c r="X26" s="107"/>
      <c r="Y26" s="107"/>
      <c r="Z26" s="107"/>
      <c r="AA26" s="107"/>
    </row>
    <row r="27">
      <c r="A27" s="109" t="s">
        <v>39</v>
      </c>
      <c r="B27" s="110">
        <f t="shared" ref="B27:V27" si="4">IFERROR(B20/B18, 0)</f>
        <v>0.4054054054</v>
      </c>
      <c r="C27" s="110">
        <f t="shared" si="4"/>
        <v>0.7419354839</v>
      </c>
      <c r="D27" s="110">
        <f t="shared" si="4"/>
        <v>0.7777777778</v>
      </c>
      <c r="E27" s="110">
        <f t="shared" si="4"/>
        <v>0.3837209302</v>
      </c>
      <c r="F27" s="110">
        <f t="shared" si="4"/>
        <v>0.6631578947</v>
      </c>
      <c r="G27" s="110">
        <f t="shared" si="4"/>
        <v>0.9</v>
      </c>
      <c r="H27" s="110">
        <f t="shared" si="4"/>
        <v>0.7959183673</v>
      </c>
      <c r="I27" s="110">
        <f t="shared" si="4"/>
        <v>0.75</v>
      </c>
      <c r="J27" s="110">
        <f t="shared" si="4"/>
        <v>0.3064516129</v>
      </c>
      <c r="K27" s="110">
        <f t="shared" si="4"/>
        <v>0.4516129032</v>
      </c>
      <c r="L27" s="110">
        <f t="shared" si="4"/>
        <v>0.75</v>
      </c>
      <c r="M27" s="110">
        <f t="shared" si="4"/>
        <v>0.8211382114</v>
      </c>
      <c r="N27" s="110">
        <f t="shared" si="4"/>
        <v>0.3287671233</v>
      </c>
      <c r="O27" s="110">
        <f t="shared" si="4"/>
        <v>0.3333333333</v>
      </c>
      <c r="P27" s="110">
        <f t="shared" si="4"/>
        <v>0.8214285714</v>
      </c>
      <c r="Q27" s="110">
        <f t="shared" si="4"/>
        <v>0.6173913043</v>
      </c>
      <c r="R27" s="110">
        <f t="shared" si="4"/>
        <v>0.825</v>
      </c>
      <c r="S27" s="110">
        <f t="shared" si="4"/>
        <v>0.75</v>
      </c>
      <c r="T27" s="110">
        <f t="shared" si="4"/>
        <v>0.9655172414</v>
      </c>
      <c r="U27" s="110">
        <f t="shared" si="4"/>
        <v>0.8395061728</v>
      </c>
      <c r="V27" s="110">
        <f t="shared" si="4"/>
        <v>0.2291666667</v>
      </c>
      <c r="W27" s="110"/>
      <c r="X27" s="110"/>
      <c r="Y27" s="110"/>
      <c r="Z27" s="110"/>
      <c r="AA27" s="110"/>
      <c r="AB27" s="112"/>
      <c r="AC27" s="113"/>
      <c r="AD27" s="113"/>
      <c r="AE27" s="113"/>
      <c r="AF27" s="113"/>
      <c r="AG27" s="113"/>
      <c r="AH27" s="113"/>
      <c r="AI27" s="113"/>
      <c r="AJ27" s="113"/>
      <c r="AK27" s="113"/>
      <c r="AL27" s="113"/>
      <c r="AM27" s="113"/>
      <c r="AN27" s="113"/>
    </row>
    <row r="28">
      <c r="A28" s="114" t="s">
        <v>40</v>
      </c>
      <c r="B28" s="115">
        <f t="shared" ref="B28:V28" si="5">B22/B8</f>
        <v>1</v>
      </c>
      <c r="C28" s="115">
        <f t="shared" si="5"/>
        <v>1</v>
      </c>
      <c r="D28" s="115">
        <f t="shared" si="5"/>
        <v>0.8414634146</v>
      </c>
      <c r="E28" s="115">
        <f t="shared" si="5"/>
        <v>1</v>
      </c>
      <c r="F28" s="115">
        <f t="shared" si="5"/>
        <v>0.8869565217</v>
      </c>
      <c r="G28" s="115">
        <f t="shared" si="5"/>
        <v>0.9626865672</v>
      </c>
      <c r="H28" s="115">
        <f t="shared" si="5"/>
        <v>0.8811881188</v>
      </c>
      <c r="I28" s="115">
        <f t="shared" si="5"/>
        <v>1</v>
      </c>
      <c r="J28" s="115">
        <f t="shared" si="5"/>
        <v>1.027522936</v>
      </c>
      <c r="K28" s="115">
        <f t="shared" si="5"/>
        <v>1</v>
      </c>
      <c r="L28" s="115">
        <f t="shared" si="5"/>
        <v>0.8452380952</v>
      </c>
      <c r="M28" s="115">
        <f t="shared" si="5"/>
        <v>1</v>
      </c>
      <c r="N28" s="115">
        <f t="shared" si="5"/>
        <v>1</v>
      </c>
      <c r="O28" s="115">
        <f t="shared" si="5"/>
        <v>0.9418604651</v>
      </c>
      <c r="P28" s="115">
        <f t="shared" si="5"/>
        <v>0.9122807018</v>
      </c>
      <c r="Q28" s="115">
        <f t="shared" si="5"/>
        <v>0.9417475728</v>
      </c>
      <c r="R28" s="115">
        <f t="shared" si="5"/>
        <v>0.96</v>
      </c>
      <c r="S28" s="115">
        <f t="shared" si="5"/>
        <v>0.7821782178</v>
      </c>
      <c r="T28" s="115">
        <f t="shared" si="5"/>
        <v>0.7291666667</v>
      </c>
      <c r="U28" s="115">
        <f t="shared" si="5"/>
        <v>0.6595744681</v>
      </c>
      <c r="V28" s="115">
        <f t="shared" si="5"/>
        <v>0.7767857143</v>
      </c>
      <c r="W28" s="115"/>
      <c r="X28" s="115"/>
      <c r="Y28" s="115"/>
      <c r="Z28" s="115"/>
      <c r="AA28" s="115"/>
      <c r="AB28" s="112"/>
      <c r="AC28" s="113"/>
      <c r="AD28" s="113"/>
      <c r="AE28" s="113"/>
      <c r="AF28" s="113"/>
      <c r="AG28" s="113"/>
      <c r="AH28" s="113"/>
      <c r="AI28" s="113"/>
      <c r="AJ28" s="113"/>
      <c r="AK28" s="113"/>
      <c r="AL28" s="113"/>
      <c r="AM28" s="113"/>
      <c r="AN28" s="113"/>
    </row>
    <row r="29">
      <c r="A29" s="117" t="s">
        <v>41</v>
      </c>
      <c r="B29" s="118"/>
      <c r="C29" s="119"/>
      <c r="D29" s="119"/>
      <c r="E29" s="119"/>
      <c r="F29" s="119"/>
      <c r="G29" s="119"/>
      <c r="H29" s="119"/>
      <c r="I29" s="119"/>
      <c r="J29" s="119"/>
      <c r="K29" s="119"/>
      <c r="L29" s="119"/>
      <c r="M29" s="119"/>
      <c r="N29" s="119"/>
      <c r="O29" s="119"/>
      <c r="P29" s="119"/>
      <c r="Q29" s="119"/>
      <c r="R29" s="119"/>
      <c r="S29" s="119"/>
      <c r="T29" s="119"/>
      <c r="U29" s="120"/>
      <c r="V29" s="119"/>
      <c r="W29" s="119"/>
      <c r="X29" s="119"/>
      <c r="Y29" s="119"/>
      <c r="Z29" s="119"/>
      <c r="AA29" s="119"/>
      <c r="AB29" s="121"/>
      <c r="AC29" s="121"/>
      <c r="AD29" s="121"/>
      <c r="AE29" s="121"/>
      <c r="AF29" s="121"/>
      <c r="AG29" s="99"/>
      <c r="AH29" s="99"/>
      <c r="AI29" s="99"/>
      <c r="AJ29" s="99"/>
      <c r="AK29" s="99"/>
      <c r="AL29" s="99"/>
      <c r="AM29" s="99"/>
      <c r="AN29" s="99"/>
    </row>
    <row r="30">
      <c r="A30" s="184" t="s">
        <v>141</v>
      </c>
      <c r="B30" s="185">
        <f t="shared" ref="B30:AA30" si="6">B80/B8</f>
        <v>0</v>
      </c>
      <c r="C30" s="185">
        <f t="shared" si="6"/>
        <v>0</v>
      </c>
      <c r="D30" s="185">
        <f t="shared" si="6"/>
        <v>0</v>
      </c>
      <c r="E30" s="185">
        <f t="shared" si="6"/>
        <v>0</v>
      </c>
      <c r="F30" s="185">
        <f t="shared" si="6"/>
        <v>0</v>
      </c>
      <c r="G30" s="185">
        <f t="shared" si="6"/>
        <v>0</v>
      </c>
      <c r="H30" s="185">
        <f t="shared" si="6"/>
        <v>0</v>
      </c>
      <c r="I30" s="185">
        <f t="shared" si="6"/>
        <v>0</v>
      </c>
      <c r="J30" s="185">
        <f t="shared" si="6"/>
        <v>0</v>
      </c>
      <c r="K30" s="185">
        <f t="shared" si="6"/>
        <v>0</v>
      </c>
      <c r="L30" s="185">
        <f t="shared" si="6"/>
        <v>0</v>
      </c>
      <c r="M30" s="185">
        <f t="shared" si="6"/>
        <v>0</v>
      </c>
      <c r="N30" s="185">
        <f t="shared" si="6"/>
        <v>0</v>
      </c>
      <c r="O30" s="185">
        <f t="shared" si="6"/>
        <v>0</v>
      </c>
      <c r="P30" s="185">
        <f t="shared" si="6"/>
        <v>0</v>
      </c>
      <c r="Q30" s="185">
        <f t="shared" si="6"/>
        <v>0</v>
      </c>
      <c r="R30" s="185">
        <f t="shared" si="6"/>
        <v>0</v>
      </c>
      <c r="S30" s="185">
        <f t="shared" si="6"/>
        <v>0</v>
      </c>
      <c r="T30" s="185">
        <f t="shared" si="6"/>
        <v>0</v>
      </c>
      <c r="U30" s="185">
        <f t="shared" si="6"/>
        <v>0</v>
      </c>
      <c r="V30" s="185">
        <f t="shared" si="6"/>
        <v>0</v>
      </c>
      <c r="W30" s="185">
        <f t="shared" si="6"/>
        <v>0.2137931034</v>
      </c>
      <c r="X30" s="185" t="str">
        <f t="shared" si="6"/>
        <v>#DIV/0!</v>
      </c>
      <c r="Y30" s="185" t="str">
        <f t="shared" si="6"/>
        <v>#DIV/0!</v>
      </c>
      <c r="Z30" s="185" t="str">
        <f t="shared" si="6"/>
        <v>#DIV/0!</v>
      </c>
      <c r="AA30" s="185" t="str">
        <f t="shared" si="6"/>
        <v>#DIV/0!</v>
      </c>
      <c r="AB30" s="240"/>
      <c r="AC30" s="186"/>
      <c r="AD30" s="186"/>
      <c r="AE30" s="186"/>
      <c r="AF30" s="186"/>
      <c r="AG30" s="186"/>
      <c r="AH30" s="186"/>
      <c r="AI30" s="186"/>
      <c r="AJ30" s="186"/>
      <c r="AK30" s="186"/>
      <c r="AL30" s="186"/>
      <c r="AM30" s="186"/>
      <c r="AN30" s="186"/>
    </row>
    <row r="31">
      <c r="A31" s="187" t="s">
        <v>42</v>
      </c>
      <c r="B31" s="191">
        <v>0.58</v>
      </c>
      <c r="C31" s="191">
        <v>0.35</v>
      </c>
      <c r="D31" s="191">
        <v>0.24</v>
      </c>
      <c r="E31" s="191">
        <v>0.24</v>
      </c>
      <c r="F31" s="191">
        <v>0.31</v>
      </c>
      <c r="G31" s="191">
        <v>0.44</v>
      </c>
      <c r="H31" s="191">
        <v>0.24</v>
      </c>
      <c r="I31" s="191">
        <v>0.28</v>
      </c>
      <c r="J31" s="191">
        <v>0.35</v>
      </c>
      <c r="K31" s="191">
        <v>0.32</v>
      </c>
      <c r="L31" s="191">
        <v>0.31</v>
      </c>
      <c r="M31" s="191">
        <v>0.3</v>
      </c>
      <c r="N31" s="191">
        <v>0.3</v>
      </c>
      <c r="O31" s="191">
        <v>0.41</v>
      </c>
      <c r="P31" s="191">
        <v>0.36</v>
      </c>
      <c r="Q31" s="191">
        <v>0.38</v>
      </c>
      <c r="R31" s="191">
        <v>0.31</v>
      </c>
      <c r="S31" s="191">
        <v>0.3</v>
      </c>
      <c r="T31" s="191">
        <v>0.33</v>
      </c>
      <c r="U31" s="191">
        <v>0.46</v>
      </c>
      <c r="V31" s="191">
        <v>0.32</v>
      </c>
      <c r="W31" s="185">
        <f>54/W8</f>
        <v>0.3724137931</v>
      </c>
      <c r="X31" s="185">
        <v>0.0</v>
      </c>
      <c r="Y31" s="185">
        <v>0.0</v>
      </c>
      <c r="Z31" s="185">
        <v>0.0</v>
      </c>
      <c r="AA31" s="185">
        <v>0.0</v>
      </c>
      <c r="AB31" s="188"/>
      <c r="AC31" s="189"/>
      <c r="AD31" s="189"/>
      <c r="AE31" s="189"/>
      <c r="AF31" s="189"/>
      <c r="AG31" s="147"/>
      <c r="AH31" s="147"/>
      <c r="AI31" s="147"/>
      <c r="AJ31" s="147"/>
      <c r="AK31" s="147"/>
      <c r="AL31" s="147"/>
      <c r="AM31" s="147"/>
      <c r="AN31" s="147"/>
    </row>
    <row r="32">
      <c r="A32" s="190" t="s">
        <v>43</v>
      </c>
      <c r="B32" s="185">
        <v>1.0</v>
      </c>
      <c r="C32" s="191">
        <v>1.0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91">
        <v>1.0</v>
      </c>
      <c r="S32" s="191">
        <v>1.0</v>
      </c>
      <c r="T32" s="191">
        <v>1.0</v>
      </c>
      <c r="U32" s="191">
        <v>1.0</v>
      </c>
      <c r="V32" s="191">
        <v>1.0</v>
      </c>
      <c r="W32" s="185">
        <v>0.0</v>
      </c>
      <c r="X32" s="185">
        <v>0.0</v>
      </c>
      <c r="Y32" s="185">
        <v>0.0</v>
      </c>
      <c r="Z32" s="185">
        <v>0.0</v>
      </c>
      <c r="AA32" s="185">
        <v>0.0</v>
      </c>
      <c r="AB32" s="189"/>
      <c r="AC32" s="189"/>
      <c r="AD32" s="189"/>
      <c r="AE32" s="189"/>
      <c r="AF32" s="189"/>
      <c r="AG32" s="147"/>
      <c r="AH32" s="147"/>
      <c r="AI32" s="147"/>
      <c r="AJ32" s="147"/>
      <c r="AK32" s="147"/>
      <c r="AL32" s="147"/>
      <c r="AM32" s="147"/>
      <c r="AN32" s="147"/>
    </row>
    <row r="33">
      <c r="A33" s="187" t="s">
        <v>44</v>
      </c>
      <c r="B33" s="192">
        <f t="shared" ref="B33:AA33" si="7">(B24*0.7) + (IF(B31 &gt;= 30%, 1, 0)*0.15) + (B32*0.15)</f>
        <v>0.3</v>
      </c>
      <c r="C33" s="192">
        <f t="shared" si="7"/>
        <v>0.3</v>
      </c>
      <c r="D33" s="192">
        <f t="shared" si="7"/>
        <v>0.85</v>
      </c>
      <c r="E33" s="192">
        <f t="shared" si="7"/>
        <v>0.85</v>
      </c>
      <c r="F33" s="192">
        <f t="shared" si="7"/>
        <v>1</v>
      </c>
      <c r="G33" s="192">
        <f t="shared" si="7"/>
        <v>1</v>
      </c>
      <c r="H33" s="192">
        <f t="shared" si="7"/>
        <v>0.85</v>
      </c>
      <c r="I33" s="192">
        <f t="shared" si="7"/>
        <v>0.85</v>
      </c>
      <c r="J33" s="192">
        <f t="shared" si="7"/>
        <v>0.3</v>
      </c>
      <c r="K33" s="192">
        <f t="shared" si="7"/>
        <v>1</v>
      </c>
      <c r="L33" s="192">
        <f t="shared" si="7"/>
        <v>0.3</v>
      </c>
      <c r="M33" s="192">
        <f t="shared" si="7"/>
        <v>0.3</v>
      </c>
      <c r="N33" s="192">
        <f t="shared" si="7"/>
        <v>1</v>
      </c>
      <c r="O33" s="192">
        <f t="shared" si="7"/>
        <v>0.3</v>
      </c>
      <c r="P33" s="192">
        <f t="shared" si="7"/>
        <v>1</v>
      </c>
      <c r="Q33" s="192">
        <f t="shared" si="7"/>
        <v>1</v>
      </c>
      <c r="R33" s="192">
        <f t="shared" si="7"/>
        <v>1</v>
      </c>
      <c r="S33" s="192">
        <f t="shared" si="7"/>
        <v>1</v>
      </c>
      <c r="T33" s="192">
        <f t="shared" si="7"/>
        <v>0.3</v>
      </c>
      <c r="U33" s="192">
        <f t="shared" si="7"/>
        <v>1</v>
      </c>
      <c r="V33" s="192">
        <f t="shared" si="7"/>
        <v>1</v>
      </c>
      <c r="W33" s="192">
        <f t="shared" si="7"/>
        <v>0.15</v>
      </c>
      <c r="X33" s="192">
        <f t="shared" si="7"/>
        <v>0</v>
      </c>
      <c r="Y33" s="192">
        <f t="shared" si="7"/>
        <v>0</v>
      </c>
      <c r="Z33" s="192">
        <f t="shared" si="7"/>
        <v>0</v>
      </c>
      <c r="AA33" s="192">
        <f t="shared" si="7"/>
        <v>0</v>
      </c>
      <c r="AB33" s="189"/>
      <c r="AC33" s="189"/>
      <c r="AD33" s="189"/>
      <c r="AE33" s="189"/>
      <c r="AF33" s="189"/>
      <c r="AG33" s="147"/>
      <c r="AH33" s="147"/>
      <c r="AI33" s="147"/>
      <c r="AJ33" s="147"/>
      <c r="AK33" s="147"/>
      <c r="AL33" s="147"/>
      <c r="AM33" s="147"/>
      <c r="AN33" s="147"/>
    </row>
    <row r="34">
      <c r="A34" s="193" t="s">
        <v>142</v>
      </c>
      <c r="B34" s="194"/>
      <c r="O34" s="192">
        <v>0.3</v>
      </c>
      <c r="P34" s="192">
        <v>1.0</v>
      </c>
      <c r="Q34" s="192">
        <v>1.0</v>
      </c>
      <c r="R34" s="192">
        <v>1.0</v>
      </c>
      <c r="S34" s="192">
        <v>1.0</v>
      </c>
      <c r="T34" s="192">
        <v>0.3</v>
      </c>
      <c r="U34" s="31"/>
    </row>
    <row r="35">
      <c r="A35" s="126" t="s">
        <v>45</v>
      </c>
      <c r="B35" s="127"/>
      <c r="C35" s="128"/>
      <c r="D35" s="128"/>
      <c r="E35" s="128"/>
      <c r="F35" s="128"/>
      <c r="G35" s="128"/>
      <c r="H35" s="128"/>
      <c r="I35" s="128"/>
      <c r="J35" s="128"/>
      <c r="K35" s="128"/>
      <c r="L35" s="128"/>
      <c r="M35" s="128"/>
      <c r="N35" s="128"/>
      <c r="O35" s="128"/>
      <c r="P35" s="128"/>
      <c r="Q35" s="128"/>
      <c r="R35" s="128"/>
      <c r="S35" s="128"/>
      <c r="T35" s="128"/>
      <c r="U35" s="129"/>
      <c r="V35" s="128"/>
      <c r="W35" s="128"/>
      <c r="X35" s="128"/>
      <c r="Y35" s="128"/>
      <c r="Z35" s="128"/>
      <c r="AA35" s="128"/>
      <c r="AB35" s="128"/>
      <c r="AC35" s="128"/>
      <c r="AD35" s="130"/>
      <c r="AE35" s="130"/>
      <c r="AF35" s="130"/>
      <c r="AG35" s="130"/>
      <c r="AH35" s="130"/>
      <c r="AI35" s="130"/>
      <c r="AJ35" s="130"/>
      <c r="AK35" s="130"/>
      <c r="AL35" s="130"/>
      <c r="AM35" s="130"/>
      <c r="AN35" s="130"/>
    </row>
    <row r="36">
      <c r="A36" s="196" t="s">
        <v>629</v>
      </c>
      <c r="B36" s="132">
        <v>43.0</v>
      </c>
      <c r="C36" s="133">
        <v>22.0</v>
      </c>
      <c r="D36" s="133">
        <v>30.0</v>
      </c>
      <c r="E36" s="133">
        <v>28.0</v>
      </c>
      <c r="F36" s="133">
        <v>37.0</v>
      </c>
      <c r="G36" s="133">
        <v>34.0</v>
      </c>
      <c r="H36" s="133">
        <v>31.0</v>
      </c>
      <c r="I36" s="133">
        <v>18.0</v>
      </c>
      <c r="J36" s="133">
        <v>23.0</v>
      </c>
      <c r="K36" s="133">
        <v>25.0</v>
      </c>
      <c r="L36" s="133">
        <v>27.0</v>
      </c>
      <c r="M36" s="133">
        <v>28.0</v>
      </c>
      <c r="N36" s="133">
        <v>21.0</v>
      </c>
      <c r="O36" s="133">
        <v>21.0</v>
      </c>
      <c r="P36" s="133">
        <v>22.0</v>
      </c>
      <c r="Q36" s="133">
        <v>22.0</v>
      </c>
      <c r="R36" s="133">
        <v>14.0</v>
      </c>
      <c r="S36" s="133">
        <v>27.0</v>
      </c>
      <c r="T36" s="133" t="s">
        <v>59</v>
      </c>
      <c r="U36" s="134">
        <v>13.0</v>
      </c>
      <c r="V36" s="133">
        <v>26.0</v>
      </c>
      <c r="W36" s="133"/>
      <c r="X36" s="133"/>
      <c r="Y36" s="133"/>
      <c r="Z36" s="133"/>
      <c r="AA36" s="133"/>
      <c r="AB36" s="133"/>
      <c r="AC36" s="130"/>
      <c r="AD36" s="130"/>
      <c r="AE36" s="130"/>
      <c r="AF36" s="130"/>
      <c r="AG36" s="130"/>
      <c r="AH36" s="130"/>
      <c r="AI36" s="130"/>
      <c r="AJ36" s="130"/>
      <c r="AK36" s="130"/>
      <c r="AL36" s="130"/>
      <c r="AM36" s="130"/>
      <c r="AN36" s="130"/>
    </row>
    <row r="37">
      <c r="A37" s="196" t="s">
        <v>630</v>
      </c>
      <c r="B37" s="132">
        <v>29.0</v>
      </c>
      <c r="C37" s="133">
        <v>20.0</v>
      </c>
      <c r="D37" s="133">
        <v>23.0</v>
      </c>
      <c r="E37" s="133">
        <v>31.0</v>
      </c>
      <c r="F37" s="133">
        <v>31.0</v>
      </c>
      <c r="G37" s="133">
        <v>49.0</v>
      </c>
      <c r="H37" s="133">
        <v>26.0</v>
      </c>
      <c r="I37" s="133">
        <v>16.0</v>
      </c>
      <c r="J37" s="133">
        <v>5.0</v>
      </c>
      <c r="K37" s="133">
        <v>3.0</v>
      </c>
      <c r="L37" s="133">
        <v>10.0</v>
      </c>
      <c r="M37" s="133">
        <v>0.0</v>
      </c>
      <c r="N37" s="133">
        <v>15.0</v>
      </c>
      <c r="O37" s="133">
        <v>23.0</v>
      </c>
      <c r="P37" s="133">
        <v>11.0</v>
      </c>
      <c r="Q37" s="133">
        <v>18.0</v>
      </c>
      <c r="R37" s="133">
        <v>11.0</v>
      </c>
      <c r="S37" s="133">
        <v>11.0</v>
      </c>
      <c r="T37" s="133">
        <v>49.0</v>
      </c>
      <c r="U37" s="134">
        <v>11.0</v>
      </c>
      <c r="V37" s="133">
        <v>22.0</v>
      </c>
      <c r="W37" s="133"/>
      <c r="X37" s="133"/>
      <c r="Y37" s="133"/>
      <c r="Z37" s="133"/>
      <c r="AA37" s="133"/>
      <c r="AB37" s="133"/>
      <c r="AC37" s="130"/>
      <c r="AD37" s="130"/>
      <c r="AE37" s="130"/>
      <c r="AF37" s="130"/>
      <c r="AG37" s="130"/>
      <c r="AH37" s="130"/>
      <c r="AI37" s="130"/>
      <c r="AJ37" s="130"/>
      <c r="AK37" s="130"/>
      <c r="AL37" s="130"/>
      <c r="AM37" s="130"/>
      <c r="AN37" s="130"/>
    </row>
    <row r="38">
      <c r="A38" s="198" t="s">
        <v>631</v>
      </c>
      <c r="B38" s="133" t="s">
        <v>59</v>
      </c>
      <c r="C38" s="133" t="s">
        <v>59</v>
      </c>
      <c r="D38" s="133" t="s">
        <v>59</v>
      </c>
      <c r="E38" s="133" t="s">
        <v>59</v>
      </c>
      <c r="F38" s="133" t="s">
        <v>59</v>
      </c>
      <c r="G38" s="133" t="s">
        <v>59</v>
      </c>
      <c r="H38" s="133">
        <v>0.0</v>
      </c>
      <c r="I38" s="133">
        <v>8.0</v>
      </c>
      <c r="J38" s="133">
        <v>18.0</v>
      </c>
      <c r="K38" s="133">
        <v>17.0</v>
      </c>
      <c r="L38" s="133">
        <v>16.0</v>
      </c>
      <c r="M38" s="133">
        <v>17.0</v>
      </c>
      <c r="N38" s="133">
        <v>13.0</v>
      </c>
      <c r="O38" s="133" t="s">
        <v>59</v>
      </c>
      <c r="P38" s="133">
        <v>21.0</v>
      </c>
      <c r="Q38" s="133">
        <v>15.0</v>
      </c>
      <c r="R38" s="133">
        <v>12.0</v>
      </c>
      <c r="S38" s="133">
        <v>24.0</v>
      </c>
      <c r="T38" s="133">
        <v>32.0</v>
      </c>
      <c r="U38" s="134">
        <v>24.0</v>
      </c>
      <c r="V38" s="133">
        <v>28.0</v>
      </c>
      <c r="W38" s="133"/>
      <c r="X38" s="133"/>
      <c r="Y38" s="133"/>
      <c r="Z38" s="133"/>
      <c r="AA38" s="133"/>
      <c r="AB38" s="133"/>
      <c r="AC38" s="130"/>
      <c r="AD38" s="130"/>
      <c r="AE38" s="130"/>
      <c r="AF38" s="130"/>
      <c r="AG38" s="130"/>
      <c r="AH38" s="130"/>
      <c r="AI38" s="130"/>
      <c r="AJ38" s="130"/>
      <c r="AK38" s="130"/>
      <c r="AL38" s="130"/>
      <c r="AM38" s="130"/>
      <c r="AN38" s="130"/>
    </row>
    <row r="39">
      <c r="A39" s="198" t="s">
        <v>632</v>
      </c>
      <c r="B39" s="133" t="s">
        <v>59</v>
      </c>
      <c r="C39" s="133" t="s">
        <v>59</v>
      </c>
      <c r="D39" s="133" t="s">
        <v>59</v>
      </c>
      <c r="E39" s="133" t="s">
        <v>59</v>
      </c>
      <c r="F39" s="133" t="s">
        <v>59</v>
      </c>
      <c r="G39" s="133" t="s">
        <v>59</v>
      </c>
      <c r="H39" s="133">
        <v>0.0</v>
      </c>
      <c r="I39" s="133">
        <v>2.0</v>
      </c>
      <c r="J39" s="133">
        <v>11.0</v>
      </c>
      <c r="K39" s="133">
        <v>16.0</v>
      </c>
      <c r="L39" s="133">
        <v>13.0</v>
      </c>
      <c r="M39" s="133">
        <v>22.0</v>
      </c>
      <c r="N39" s="133">
        <v>14.0</v>
      </c>
      <c r="O39" s="133">
        <v>16.0</v>
      </c>
      <c r="P39" s="133">
        <v>18.0</v>
      </c>
      <c r="Q39" s="133">
        <v>15.0</v>
      </c>
      <c r="R39" s="133">
        <v>12.0</v>
      </c>
      <c r="S39" s="133">
        <v>23.0</v>
      </c>
      <c r="T39" s="133">
        <v>25.0</v>
      </c>
      <c r="U39" s="134">
        <v>25.0</v>
      </c>
      <c r="V39" s="133">
        <v>6.0</v>
      </c>
      <c r="W39" s="133"/>
      <c r="X39" s="133"/>
      <c r="Y39" s="133"/>
      <c r="Z39" s="133"/>
      <c r="AA39" s="133"/>
      <c r="AB39" s="133"/>
      <c r="AC39" s="130"/>
      <c r="AD39" s="130"/>
      <c r="AE39" s="130"/>
      <c r="AF39" s="130"/>
      <c r="AG39" s="130"/>
      <c r="AH39" s="130"/>
      <c r="AI39" s="130"/>
      <c r="AJ39" s="130"/>
      <c r="AK39" s="130"/>
      <c r="AL39" s="130"/>
      <c r="AM39" s="130"/>
      <c r="AN39" s="130"/>
    </row>
    <row r="40">
      <c r="A40" s="198" t="s">
        <v>633</v>
      </c>
      <c r="B40" s="133" t="s">
        <v>59</v>
      </c>
      <c r="C40" s="133" t="s">
        <v>59</v>
      </c>
      <c r="D40" s="133" t="s">
        <v>59</v>
      </c>
      <c r="E40" s="133" t="s">
        <v>59</v>
      </c>
      <c r="F40" s="133" t="s">
        <v>59</v>
      </c>
      <c r="G40" s="133" t="s">
        <v>59</v>
      </c>
      <c r="H40" s="133" t="s">
        <v>59</v>
      </c>
      <c r="I40" s="133" t="s">
        <v>59</v>
      </c>
      <c r="J40" s="133" t="s">
        <v>59</v>
      </c>
      <c r="K40" s="133" t="s">
        <v>59</v>
      </c>
      <c r="L40" s="133" t="s">
        <v>59</v>
      </c>
      <c r="M40" s="133" t="s">
        <v>59</v>
      </c>
      <c r="N40" s="133" t="s">
        <v>59</v>
      </c>
      <c r="O40" s="133" t="s">
        <v>59</v>
      </c>
      <c r="P40" s="133" t="s">
        <v>59</v>
      </c>
      <c r="Q40" s="133" t="s">
        <v>59</v>
      </c>
      <c r="R40" s="133" t="s">
        <v>59</v>
      </c>
      <c r="S40" s="133" t="s">
        <v>59</v>
      </c>
      <c r="T40" s="133">
        <v>8.0</v>
      </c>
      <c r="U40" s="134">
        <v>10.0</v>
      </c>
      <c r="V40" s="133">
        <v>11.0</v>
      </c>
      <c r="W40" s="133"/>
      <c r="X40" s="133"/>
      <c r="Y40" s="133"/>
      <c r="Z40" s="133"/>
      <c r="AA40" s="133"/>
      <c r="AB40" s="133"/>
      <c r="AC40" s="130"/>
      <c r="AD40" s="130"/>
      <c r="AE40" s="130"/>
      <c r="AF40" s="130"/>
      <c r="AG40" s="130"/>
      <c r="AH40" s="130"/>
      <c r="AI40" s="130"/>
      <c r="AJ40" s="130"/>
      <c r="AK40" s="130"/>
      <c r="AL40" s="130"/>
      <c r="AM40" s="130"/>
      <c r="AN40" s="130"/>
    </row>
    <row r="41" ht="24.75" customHeight="1">
      <c r="A41" s="198" t="s">
        <v>634</v>
      </c>
      <c r="B41" s="133" t="s">
        <v>59</v>
      </c>
      <c r="C41" s="133" t="s">
        <v>59</v>
      </c>
      <c r="D41" s="133" t="s">
        <v>59</v>
      </c>
      <c r="E41" s="133" t="s">
        <v>59</v>
      </c>
      <c r="F41" s="133" t="s">
        <v>59</v>
      </c>
      <c r="G41" s="133" t="s">
        <v>59</v>
      </c>
      <c r="H41" s="133" t="s">
        <v>59</v>
      </c>
      <c r="I41" s="133" t="s">
        <v>59</v>
      </c>
      <c r="J41" s="133" t="s">
        <v>59</v>
      </c>
      <c r="K41" s="133" t="s">
        <v>59</v>
      </c>
      <c r="L41" s="133" t="s">
        <v>59</v>
      </c>
      <c r="M41" s="133" t="s">
        <v>59</v>
      </c>
      <c r="N41" s="133" t="s">
        <v>59</v>
      </c>
      <c r="O41" s="133" t="s">
        <v>59</v>
      </c>
      <c r="P41" s="133" t="s">
        <v>59</v>
      </c>
      <c r="Q41" s="133" t="s">
        <v>59</v>
      </c>
      <c r="R41" s="133" t="s">
        <v>59</v>
      </c>
      <c r="S41" s="133" t="s">
        <v>59</v>
      </c>
      <c r="T41" s="133" t="s">
        <v>59</v>
      </c>
      <c r="U41" s="133" t="s">
        <v>59</v>
      </c>
      <c r="V41" s="133">
        <v>25.0</v>
      </c>
      <c r="W41" s="130"/>
      <c r="X41" s="130"/>
      <c r="Y41" s="130"/>
      <c r="Z41" s="130"/>
      <c r="AA41" s="130"/>
      <c r="AB41" s="130"/>
      <c r="AC41" s="130"/>
      <c r="AD41" s="130"/>
      <c r="AE41" s="130"/>
      <c r="AF41" s="130"/>
      <c r="AG41" s="130"/>
      <c r="AH41" s="130"/>
      <c r="AI41" s="130"/>
      <c r="AJ41" s="130"/>
      <c r="AK41" s="130"/>
      <c r="AL41" s="130"/>
      <c r="AM41" s="130"/>
      <c r="AN41" s="130"/>
    </row>
    <row r="42" ht="24.75" customHeight="1">
      <c r="A42" s="196" t="s">
        <v>586</v>
      </c>
      <c r="B42" s="132">
        <v>9.0</v>
      </c>
      <c r="C42" s="133">
        <v>23.0</v>
      </c>
      <c r="D42" s="133">
        <v>24.0</v>
      </c>
      <c r="E42" s="133">
        <v>27.0</v>
      </c>
      <c r="F42" s="133">
        <v>33.0</v>
      </c>
      <c r="G42" s="133">
        <v>36.0</v>
      </c>
      <c r="H42" s="133">
        <v>31.0</v>
      </c>
      <c r="I42" s="133">
        <v>25.0</v>
      </c>
      <c r="J42" s="133">
        <v>31.0</v>
      </c>
      <c r="K42" s="133">
        <v>34.0</v>
      </c>
      <c r="L42" s="133">
        <v>28.0</v>
      </c>
      <c r="M42" s="133">
        <v>35.0</v>
      </c>
      <c r="N42" s="133">
        <v>15.0</v>
      </c>
      <c r="O42" s="133">
        <v>3.0</v>
      </c>
      <c r="P42" s="133">
        <v>24.0</v>
      </c>
      <c r="Q42" s="133">
        <v>19.0</v>
      </c>
      <c r="R42" s="133">
        <v>13.0</v>
      </c>
      <c r="S42" s="133">
        <v>16.0</v>
      </c>
      <c r="T42" s="133">
        <v>30.0</v>
      </c>
      <c r="U42" s="134">
        <v>22.0</v>
      </c>
      <c r="V42" s="133" t="s">
        <v>59</v>
      </c>
      <c r="W42" s="130"/>
      <c r="X42" s="130"/>
      <c r="Y42" s="130"/>
      <c r="Z42" s="130"/>
      <c r="AA42" s="130"/>
      <c r="AB42" s="130"/>
      <c r="AC42" s="130"/>
      <c r="AD42" s="130"/>
      <c r="AE42" s="130"/>
      <c r="AF42" s="130"/>
      <c r="AG42" s="130"/>
      <c r="AH42" s="130"/>
      <c r="AI42" s="130"/>
      <c r="AJ42" s="130"/>
      <c r="AK42" s="130"/>
      <c r="AL42" s="130"/>
      <c r="AM42" s="130"/>
      <c r="AN42" s="130"/>
    </row>
    <row r="43">
      <c r="A43" s="198" t="s">
        <v>583</v>
      </c>
      <c r="B43" s="133" t="s">
        <v>59</v>
      </c>
      <c r="C43" s="133" t="s">
        <v>59</v>
      </c>
      <c r="D43" s="133" t="s">
        <v>59</v>
      </c>
      <c r="E43" s="133">
        <v>26.0</v>
      </c>
      <c r="F43" s="133">
        <v>14.0</v>
      </c>
      <c r="G43" s="133">
        <v>18.0</v>
      </c>
      <c r="H43" s="133">
        <v>16.0</v>
      </c>
      <c r="I43" s="133">
        <v>18.0</v>
      </c>
      <c r="J43" s="133">
        <v>21.0</v>
      </c>
      <c r="K43" s="133" t="s">
        <v>59</v>
      </c>
      <c r="L43" s="133" t="s">
        <v>59</v>
      </c>
      <c r="M43" s="133" t="s">
        <v>59</v>
      </c>
      <c r="N43" s="133" t="s">
        <v>59</v>
      </c>
      <c r="O43" s="133" t="s">
        <v>59</v>
      </c>
      <c r="P43" s="133" t="s">
        <v>59</v>
      </c>
      <c r="Q43" s="133" t="s">
        <v>59</v>
      </c>
      <c r="R43" s="133" t="s">
        <v>59</v>
      </c>
      <c r="S43" s="133" t="s">
        <v>59</v>
      </c>
      <c r="T43" s="133" t="s">
        <v>59</v>
      </c>
      <c r="U43" s="134" t="s">
        <v>59</v>
      </c>
      <c r="V43" s="133" t="s">
        <v>59</v>
      </c>
      <c r="W43" s="133"/>
      <c r="X43" s="133"/>
      <c r="Y43" s="133"/>
      <c r="Z43" s="133"/>
      <c r="AA43" s="133"/>
      <c r="AB43" s="133"/>
      <c r="AC43" s="130"/>
      <c r="AD43" s="130"/>
      <c r="AE43" s="130"/>
      <c r="AF43" s="130"/>
      <c r="AG43" s="130"/>
      <c r="AH43" s="130"/>
      <c r="AI43" s="130"/>
      <c r="AJ43" s="130"/>
      <c r="AK43" s="130"/>
      <c r="AL43" s="130"/>
      <c r="AM43" s="130"/>
      <c r="AN43" s="130"/>
    </row>
    <row r="44">
      <c r="A44" s="198" t="s">
        <v>587</v>
      </c>
      <c r="B44" s="133" t="s">
        <v>59</v>
      </c>
      <c r="C44" s="133" t="s">
        <v>59</v>
      </c>
      <c r="D44" s="133" t="s">
        <v>59</v>
      </c>
      <c r="E44" s="133" t="s">
        <v>59</v>
      </c>
      <c r="F44" s="133" t="s">
        <v>59</v>
      </c>
      <c r="G44" s="133" t="s">
        <v>59</v>
      </c>
      <c r="H44" s="133" t="s">
        <v>59</v>
      </c>
      <c r="I44" s="133" t="s">
        <v>59</v>
      </c>
      <c r="J44" s="133">
        <v>0.0</v>
      </c>
      <c r="K44" s="133">
        <v>20.0</v>
      </c>
      <c r="L44" s="133">
        <v>18.0</v>
      </c>
      <c r="M44" s="133">
        <v>21.0</v>
      </c>
      <c r="N44" s="133">
        <v>11.0</v>
      </c>
      <c r="O44" s="133">
        <v>23.0</v>
      </c>
      <c r="P44" s="133">
        <v>18.0</v>
      </c>
      <c r="Q44" s="133">
        <v>14.0</v>
      </c>
      <c r="R44" s="133">
        <v>13.0</v>
      </c>
      <c r="S44" s="133" t="s">
        <v>59</v>
      </c>
      <c r="T44" s="133" t="s">
        <v>59</v>
      </c>
      <c r="U44" s="134" t="s">
        <v>59</v>
      </c>
      <c r="V44" s="133" t="s">
        <v>59</v>
      </c>
      <c r="W44" s="133"/>
      <c r="X44" s="133"/>
      <c r="Y44" s="133"/>
      <c r="Z44" s="133"/>
      <c r="AA44" s="133"/>
      <c r="AB44" s="133"/>
      <c r="AC44" s="130"/>
      <c r="AD44" s="130"/>
      <c r="AE44" s="130"/>
      <c r="AF44" s="130"/>
      <c r="AG44" s="130"/>
      <c r="AH44" s="130"/>
      <c r="AI44" s="130"/>
      <c r="AJ44" s="130"/>
      <c r="AK44" s="130"/>
      <c r="AL44" s="130"/>
      <c r="AM44" s="130"/>
      <c r="AN44" s="130"/>
    </row>
    <row r="45">
      <c r="A45" s="196" t="s">
        <v>144</v>
      </c>
      <c r="B45" s="132" t="s">
        <v>59</v>
      </c>
      <c r="C45" s="133" t="s">
        <v>59</v>
      </c>
      <c r="D45" s="133">
        <v>0.0</v>
      </c>
      <c r="E45" s="133" t="s">
        <v>59</v>
      </c>
      <c r="F45" s="133" t="s">
        <v>59</v>
      </c>
      <c r="G45" s="133" t="s">
        <v>59</v>
      </c>
      <c r="H45" s="133" t="s">
        <v>59</v>
      </c>
      <c r="I45" s="133">
        <v>0.0</v>
      </c>
      <c r="J45" s="133" t="s">
        <v>59</v>
      </c>
      <c r="K45" s="133">
        <v>0.0</v>
      </c>
      <c r="L45" s="133">
        <v>0.0</v>
      </c>
      <c r="M45" s="133">
        <v>0.0</v>
      </c>
      <c r="N45" s="133" t="s">
        <v>59</v>
      </c>
      <c r="O45" s="133" t="s">
        <v>59</v>
      </c>
      <c r="P45" s="133" t="s">
        <v>59</v>
      </c>
      <c r="Q45" s="133" t="s">
        <v>59</v>
      </c>
      <c r="R45" s="133" t="s">
        <v>59</v>
      </c>
      <c r="S45" s="133" t="s">
        <v>59</v>
      </c>
      <c r="T45" s="133" t="s">
        <v>59</v>
      </c>
      <c r="U45" s="134" t="s">
        <v>59</v>
      </c>
      <c r="V45" s="133" t="s">
        <v>59</v>
      </c>
      <c r="W45" s="133"/>
      <c r="X45" s="133"/>
      <c r="Y45" s="133"/>
      <c r="Z45" s="133"/>
      <c r="AA45" s="133"/>
      <c r="AB45" s="133"/>
      <c r="AC45" s="130"/>
      <c r="AD45" s="130"/>
      <c r="AE45" s="130"/>
      <c r="AF45" s="130"/>
      <c r="AG45" s="130"/>
      <c r="AH45" s="130"/>
      <c r="AI45" s="130"/>
      <c r="AJ45" s="130"/>
      <c r="AK45" s="130"/>
      <c r="AL45" s="130"/>
      <c r="AM45" s="130"/>
      <c r="AN45" s="130"/>
    </row>
    <row r="46" hidden="1">
      <c r="A46" s="196" t="s">
        <v>517</v>
      </c>
      <c r="B46" s="132">
        <v>4.0</v>
      </c>
      <c r="C46" s="133">
        <v>8.0</v>
      </c>
      <c r="D46" s="130"/>
      <c r="E46" s="130"/>
      <c r="F46" s="130"/>
      <c r="G46" s="130"/>
      <c r="H46" s="130"/>
      <c r="I46" s="130"/>
      <c r="J46" s="130"/>
      <c r="K46" s="130"/>
      <c r="L46" s="130"/>
      <c r="M46" s="130"/>
      <c r="N46" s="130"/>
      <c r="O46" s="130"/>
      <c r="P46" s="130"/>
      <c r="Q46" s="133"/>
      <c r="R46" s="133"/>
      <c r="S46" s="133"/>
      <c r="T46" s="133"/>
      <c r="U46" s="134"/>
      <c r="V46" s="133"/>
      <c r="W46" s="133"/>
      <c r="X46" s="133"/>
      <c r="Y46" s="133"/>
      <c r="Z46" s="133"/>
      <c r="AA46" s="133"/>
      <c r="AB46" s="133"/>
      <c r="AC46" s="130"/>
      <c r="AD46" s="130"/>
      <c r="AE46" s="130"/>
      <c r="AF46" s="130"/>
      <c r="AG46" s="130"/>
      <c r="AH46" s="130"/>
      <c r="AI46" s="130"/>
      <c r="AJ46" s="130"/>
      <c r="AK46" s="130"/>
      <c r="AL46" s="130"/>
      <c r="AM46" s="130"/>
      <c r="AN46" s="130"/>
    </row>
    <row r="47">
      <c r="A47" s="196" t="s">
        <v>588</v>
      </c>
      <c r="B47" s="132" t="s">
        <v>59</v>
      </c>
      <c r="C47" s="133" t="s">
        <v>59</v>
      </c>
      <c r="D47" s="133" t="s">
        <v>59</v>
      </c>
      <c r="E47" s="133" t="s">
        <v>59</v>
      </c>
      <c r="F47" s="133" t="s">
        <v>59</v>
      </c>
      <c r="G47" s="133" t="s">
        <v>59</v>
      </c>
      <c r="H47" s="133">
        <v>5.0</v>
      </c>
      <c r="I47" s="130"/>
      <c r="J47" s="133" t="s">
        <v>59</v>
      </c>
      <c r="K47" s="133" t="s">
        <v>59</v>
      </c>
      <c r="L47" s="133" t="s">
        <v>59</v>
      </c>
      <c r="M47" s="133" t="s">
        <v>59</v>
      </c>
      <c r="N47" s="133" t="s">
        <v>59</v>
      </c>
      <c r="O47" s="133" t="s">
        <v>59</v>
      </c>
      <c r="P47" s="133" t="s">
        <v>59</v>
      </c>
      <c r="Q47" s="133" t="s">
        <v>59</v>
      </c>
      <c r="R47" s="133" t="s">
        <v>59</v>
      </c>
      <c r="S47" s="133" t="s">
        <v>59</v>
      </c>
      <c r="T47" s="133" t="s">
        <v>59</v>
      </c>
      <c r="U47" s="133" t="s">
        <v>59</v>
      </c>
      <c r="V47" s="133" t="s">
        <v>59</v>
      </c>
      <c r="W47" s="133"/>
      <c r="X47" s="133"/>
      <c r="Y47" s="133"/>
      <c r="Z47" s="133"/>
      <c r="AA47" s="133"/>
      <c r="AB47" s="133"/>
      <c r="AC47" s="130"/>
      <c r="AD47" s="130"/>
      <c r="AE47" s="130"/>
      <c r="AF47" s="130"/>
      <c r="AG47" s="130"/>
      <c r="AH47" s="130"/>
      <c r="AI47" s="130"/>
      <c r="AJ47" s="130"/>
      <c r="AK47" s="130"/>
      <c r="AL47" s="130"/>
      <c r="AM47" s="130"/>
      <c r="AN47" s="130"/>
    </row>
    <row r="48">
      <c r="A48" s="407" t="s">
        <v>46</v>
      </c>
      <c r="B48" s="420"/>
      <c r="C48" s="128"/>
      <c r="D48" s="128"/>
      <c r="E48" s="128"/>
      <c r="F48" s="128"/>
      <c r="G48" s="128"/>
      <c r="H48" s="128"/>
      <c r="I48" s="128"/>
      <c r="J48" s="128"/>
      <c r="K48" s="128"/>
      <c r="L48" s="128"/>
      <c r="M48" s="128"/>
      <c r="N48" s="128"/>
      <c r="O48" s="128"/>
      <c r="P48" s="128"/>
      <c r="Q48" s="284"/>
      <c r="R48" s="284"/>
      <c r="S48" s="284"/>
      <c r="T48" s="284"/>
      <c r="U48" s="285"/>
      <c r="V48" s="284"/>
      <c r="W48" s="284"/>
      <c r="X48" s="284"/>
      <c r="Y48" s="284"/>
      <c r="Z48" s="284"/>
      <c r="AA48" s="284"/>
      <c r="AB48" s="284"/>
      <c r="AC48" s="128"/>
      <c r="AD48" s="128"/>
      <c r="AE48" s="128"/>
      <c r="AF48" s="128"/>
      <c r="AG48" s="128"/>
      <c r="AH48" s="128"/>
      <c r="AI48" s="128"/>
      <c r="AJ48" s="128"/>
      <c r="AK48" s="128"/>
      <c r="AL48" s="128"/>
      <c r="AM48" s="128"/>
      <c r="AN48" s="128"/>
    </row>
    <row r="49">
      <c r="A49" s="196" t="s">
        <v>629</v>
      </c>
      <c r="B49" s="132">
        <v>11.0</v>
      </c>
      <c r="C49" s="133">
        <v>11.0</v>
      </c>
      <c r="D49" s="133">
        <v>27.0</v>
      </c>
      <c r="E49" s="133">
        <v>32.0</v>
      </c>
      <c r="F49" s="133">
        <v>37.0</v>
      </c>
      <c r="G49" s="133">
        <v>34.0</v>
      </c>
      <c r="H49" s="133">
        <v>31.0</v>
      </c>
      <c r="I49" s="133">
        <v>22.0</v>
      </c>
      <c r="J49" s="133">
        <v>3.0</v>
      </c>
      <c r="K49" s="133">
        <v>22.0</v>
      </c>
      <c r="L49" s="133">
        <v>23.0</v>
      </c>
      <c r="M49" s="133">
        <v>33.0</v>
      </c>
      <c r="N49" s="133">
        <v>20.0</v>
      </c>
      <c r="O49" s="133">
        <v>5.0</v>
      </c>
      <c r="P49" s="133">
        <v>19.0</v>
      </c>
      <c r="Q49" s="133">
        <v>22.0</v>
      </c>
      <c r="R49" s="133">
        <v>17.0</v>
      </c>
      <c r="S49" s="133">
        <v>28.0</v>
      </c>
      <c r="T49" s="133" t="s">
        <v>59</v>
      </c>
      <c r="U49" s="134">
        <v>16.0</v>
      </c>
      <c r="V49" s="133">
        <v>13.0</v>
      </c>
      <c r="W49" s="133"/>
      <c r="X49" s="133"/>
      <c r="Y49" s="133"/>
      <c r="Z49" s="133"/>
      <c r="AA49" s="133"/>
      <c r="AB49" s="133"/>
      <c r="AC49" s="130"/>
      <c r="AD49" s="130"/>
      <c r="AE49" s="130"/>
      <c r="AF49" s="130"/>
      <c r="AG49" s="130"/>
      <c r="AH49" s="130"/>
      <c r="AI49" s="130"/>
      <c r="AJ49" s="130"/>
      <c r="AK49" s="130"/>
      <c r="AL49" s="130"/>
      <c r="AM49" s="130"/>
      <c r="AN49" s="130"/>
    </row>
    <row r="50">
      <c r="A50" s="196" t="s">
        <v>630</v>
      </c>
      <c r="B50" s="132">
        <v>16.0</v>
      </c>
      <c r="C50" s="133">
        <v>12.0</v>
      </c>
      <c r="D50" s="133">
        <v>19.0</v>
      </c>
      <c r="E50" s="133">
        <v>38.0</v>
      </c>
      <c r="F50" s="133">
        <v>35.0</v>
      </c>
      <c r="G50" s="133">
        <v>53.0</v>
      </c>
      <c r="H50" s="133">
        <v>26.0</v>
      </c>
      <c r="I50" s="133">
        <v>31.0</v>
      </c>
      <c r="J50" s="133">
        <v>11.0</v>
      </c>
      <c r="K50" s="133">
        <v>6.0</v>
      </c>
      <c r="L50" s="133">
        <v>5.0</v>
      </c>
      <c r="M50" s="133">
        <v>3.0</v>
      </c>
      <c r="N50" s="133">
        <v>15.0</v>
      </c>
      <c r="O50" s="133">
        <v>30.0</v>
      </c>
      <c r="P50" s="133">
        <v>19.0</v>
      </c>
      <c r="Q50" s="133">
        <v>24.0</v>
      </c>
      <c r="R50" s="133">
        <v>19.0</v>
      </c>
      <c r="S50" s="133">
        <v>11.0</v>
      </c>
      <c r="T50" s="133">
        <v>43.0</v>
      </c>
      <c r="U50" s="134">
        <v>25.0</v>
      </c>
      <c r="V50" s="133">
        <v>12.0</v>
      </c>
      <c r="W50" s="133"/>
      <c r="X50" s="133"/>
      <c r="Y50" s="133"/>
      <c r="Z50" s="133"/>
      <c r="AA50" s="133"/>
      <c r="AB50" s="130"/>
      <c r="AC50" s="130"/>
      <c r="AD50" s="130"/>
      <c r="AE50" s="130"/>
      <c r="AF50" s="130"/>
      <c r="AG50" s="130"/>
      <c r="AH50" s="130"/>
      <c r="AI50" s="130"/>
      <c r="AJ50" s="130"/>
      <c r="AK50" s="130"/>
      <c r="AL50" s="130"/>
      <c r="AM50" s="130"/>
      <c r="AN50" s="130"/>
    </row>
    <row r="51">
      <c r="A51" s="198" t="s">
        <v>631</v>
      </c>
      <c r="B51" s="133" t="s">
        <v>59</v>
      </c>
      <c r="C51" s="133" t="s">
        <v>59</v>
      </c>
      <c r="D51" s="133" t="s">
        <v>59</v>
      </c>
      <c r="E51" s="133" t="s">
        <v>59</v>
      </c>
      <c r="F51" s="133" t="s">
        <v>59</v>
      </c>
      <c r="G51" s="133" t="s">
        <v>59</v>
      </c>
      <c r="H51" s="133">
        <v>8.0</v>
      </c>
      <c r="I51" s="133">
        <v>6.0</v>
      </c>
      <c r="J51" s="133">
        <v>9.0</v>
      </c>
      <c r="K51" s="133">
        <v>16.0</v>
      </c>
      <c r="L51" s="133">
        <v>7.0</v>
      </c>
      <c r="M51" s="133">
        <v>15.0</v>
      </c>
      <c r="N51" s="133">
        <v>13.0</v>
      </c>
      <c r="O51" s="133">
        <v>7.0</v>
      </c>
      <c r="P51" s="133">
        <v>21.0</v>
      </c>
      <c r="Q51" s="133">
        <v>18.0</v>
      </c>
      <c r="R51" s="133">
        <v>15.0</v>
      </c>
      <c r="S51" s="133">
        <v>19.0</v>
      </c>
      <c r="T51" s="133">
        <v>21.0</v>
      </c>
      <c r="U51" s="134">
        <v>38.0</v>
      </c>
      <c r="V51" s="133">
        <v>25.0</v>
      </c>
      <c r="W51" s="130"/>
      <c r="X51" s="130"/>
      <c r="Y51" s="130"/>
      <c r="Z51" s="130"/>
      <c r="AA51" s="130"/>
      <c r="AB51" s="130"/>
      <c r="AC51" s="130"/>
      <c r="AD51" s="130"/>
      <c r="AE51" s="130"/>
      <c r="AF51" s="130"/>
      <c r="AG51" s="130"/>
      <c r="AH51" s="130"/>
      <c r="AI51" s="130"/>
      <c r="AJ51" s="130"/>
      <c r="AK51" s="130"/>
      <c r="AL51" s="130"/>
      <c r="AM51" s="130"/>
      <c r="AN51" s="130"/>
    </row>
    <row r="52">
      <c r="A52" s="198" t="s">
        <v>632</v>
      </c>
      <c r="B52" s="133" t="s">
        <v>59</v>
      </c>
      <c r="C52" s="133" t="s">
        <v>59</v>
      </c>
      <c r="D52" s="133" t="s">
        <v>59</v>
      </c>
      <c r="E52" s="133" t="s">
        <v>59</v>
      </c>
      <c r="F52" s="133" t="s">
        <v>59</v>
      </c>
      <c r="G52" s="133" t="s">
        <v>59</v>
      </c>
      <c r="H52" s="133" t="s">
        <v>59</v>
      </c>
      <c r="I52" s="133">
        <v>0.0</v>
      </c>
      <c r="J52" s="133">
        <v>11.0</v>
      </c>
      <c r="K52" s="133">
        <v>13.0</v>
      </c>
      <c r="L52" s="133">
        <v>8.0</v>
      </c>
      <c r="M52" s="133">
        <v>6.0</v>
      </c>
      <c r="N52" s="133">
        <v>9.0</v>
      </c>
      <c r="O52" s="133">
        <v>15.0</v>
      </c>
      <c r="P52" s="133">
        <v>15.0</v>
      </c>
      <c r="Q52" s="133">
        <v>22.0</v>
      </c>
      <c r="R52" s="133">
        <v>10.0</v>
      </c>
      <c r="S52" s="133">
        <v>14.0</v>
      </c>
      <c r="T52" s="133">
        <v>10.0</v>
      </c>
      <c r="U52" s="134">
        <v>21.0</v>
      </c>
      <c r="V52" s="133">
        <v>6.0</v>
      </c>
      <c r="W52" s="130"/>
      <c r="X52" s="130"/>
      <c r="Y52" s="130"/>
      <c r="Z52" s="130"/>
      <c r="AA52" s="130"/>
      <c r="AB52" s="130"/>
      <c r="AC52" s="130"/>
      <c r="AD52" s="130"/>
      <c r="AE52" s="130"/>
      <c r="AF52" s="130"/>
      <c r="AG52" s="130"/>
      <c r="AH52" s="130"/>
      <c r="AI52" s="130"/>
      <c r="AJ52" s="130"/>
      <c r="AK52" s="130"/>
      <c r="AL52" s="130"/>
      <c r="AM52" s="130"/>
      <c r="AN52" s="130"/>
    </row>
    <row r="53">
      <c r="A53" s="198" t="s">
        <v>633</v>
      </c>
      <c r="B53" s="133" t="s">
        <v>59</v>
      </c>
      <c r="C53" s="133" t="s">
        <v>59</v>
      </c>
      <c r="D53" s="133" t="s">
        <v>59</v>
      </c>
      <c r="E53" s="133" t="s">
        <v>59</v>
      </c>
      <c r="F53" s="133" t="s">
        <v>59</v>
      </c>
      <c r="G53" s="133" t="s">
        <v>59</v>
      </c>
      <c r="H53" s="133" t="s">
        <v>59</v>
      </c>
      <c r="I53" s="133" t="s">
        <v>59</v>
      </c>
      <c r="J53" s="133" t="s">
        <v>59</v>
      </c>
      <c r="K53" s="133" t="s">
        <v>59</v>
      </c>
      <c r="L53" s="133" t="s">
        <v>59</v>
      </c>
      <c r="M53" s="133" t="s">
        <v>59</v>
      </c>
      <c r="N53" s="133" t="s">
        <v>59</v>
      </c>
      <c r="O53" s="133" t="s">
        <v>59</v>
      </c>
      <c r="P53" s="133" t="s">
        <v>59</v>
      </c>
      <c r="Q53" s="133" t="s">
        <v>59</v>
      </c>
      <c r="R53" s="133" t="s">
        <v>59</v>
      </c>
      <c r="S53" s="133" t="s">
        <v>59</v>
      </c>
      <c r="T53" s="133">
        <v>3.0</v>
      </c>
      <c r="U53" s="134">
        <v>3.0</v>
      </c>
      <c r="V53" s="133">
        <v>16.0</v>
      </c>
      <c r="W53" s="130"/>
      <c r="X53" s="130"/>
      <c r="Y53" s="130"/>
      <c r="Z53" s="130"/>
      <c r="AA53" s="130"/>
      <c r="AB53" s="130"/>
      <c r="AC53" s="130"/>
      <c r="AD53" s="130"/>
      <c r="AE53" s="130"/>
      <c r="AF53" s="130"/>
      <c r="AG53" s="130"/>
      <c r="AH53" s="130"/>
      <c r="AI53" s="130"/>
      <c r="AJ53" s="130"/>
      <c r="AK53" s="130"/>
      <c r="AL53" s="130"/>
      <c r="AM53" s="130"/>
      <c r="AN53" s="130"/>
    </row>
    <row r="54">
      <c r="A54" s="198" t="s">
        <v>634</v>
      </c>
      <c r="B54" s="133" t="s">
        <v>59</v>
      </c>
      <c r="C54" s="133" t="s">
        <v>59</v>
      </c>
      <c r="D54" s="133" t="s">
        <v>59</v>
      </c>
      <c r="E54" s="133" t="s">
        <v>59</v>
      </c>
      <c r="F54" s="133" t="s">
        <v>59</v>
      </c>
      <c r="G54" s="133" t="s">
        <v>59</v>
      </c>
      <c r="H54" s="133" t="s">
        <v>59</v>
      </c>
      <c r="I54" s="133" t="s">
        <v>59</v>
      </c>
      <c r="J54" s="133" t="s">
        <v>59</v>
      </c>
      <c r="K54" s="133" t="s">
        <v>59</v>
      </c>
      <c r="L54" s="133" t="s">
        <v>59</v>
      </c>
      <c r="M54" s="133" t="s">
        <v>59</v>
      </c>
      <c r="N54" s="133" t="s">
        <v>59</v>
      </c>
      <c r="O54" s="133" t="s">
        <v>59</v>
      </c>
      <c r="P54" s="133" t="s">
        <v>59</v>
      </c>
      <c r="Q54" s="133" t="s">
        <v>59</v>
      </c>
      <c r="R54" s="133" t="s">
        <v>59</v>
      </c>
      <c r="S54" s="133" t="s">
        <v>59</v>
      </c>
      <c r="T54" s="133" t="s">
        <v>59</v>
      </c>
      <c r="U54" s="133" t="s">
        <v>59</v>
      </c>
      <c r="V54" s="133">
        <v>23.0</v>
      </c>
      <c r="W54" s="130"/>
      <c r="X54" s="130"/>
      <c r="Y54" s="130"/>
      <c r="Z54" s="130"/>
      <c r="AA54" s="130"/>
      <c r="AB54" s="130"/>
      <c r="AC54" s="130"/>
      <c r="AD54" s="130"/>
      <c r="AE54" s="130"/>
      <c r="AF54" s="130"/>
      <c r="AG54" s="130"/>
      <c r="AH54" s="130"/>
      <c r="AI54" s="130"/>
      <c r="AJ54" s="130"/>
      <c r="AK54" s="130"/>
      <c r="AL54" s="130"/>
      <c r="AM54" s="130"/>
      <c r="AN54" s="130"/>
    </row>
    <row r="55">
      <c r="A55" s="409" t="s">
        <v>586</v>
      </c>
      <c r="B55" s="132">
        <v>5.0</v>
      </c>
      <c r="C55" s="133">
        <v>8.0</v>
      </c>
      <c r="D55" s="133">
        <v>16.0</v>
      </c>
      <c r="E55" s="133">
        <v>29.0</v>
      </c>
      <c r="F55" s="133">
        <v>33.0</v>
      </c>
      <c r="G55" s="133">
        <v>36.0</v>
      </c>
      <c r="H55" s="133">
        <v>38.0</v>
      </c>
      <c r="I55" s="133">
        <v>25.0</v>
      </c>
      <c r="J55" s="133">
        <v>13.0</v>
      </c>
      <c r="K55" s="133">
        <v>26.0</v>
      </c>
      <c r="L55" s="133">
        <v>26.0</v>
      </c>
      <c r="M55" s="133">
        <v>48.0</v>
      </c>
      <c r="N55" s="133">
        <v>10.0</v>
      </c>
      <c r="O55" s="133">
        <v>3.0</v>
      </c>
      <c r="P55" s="133">
        <v>25.0</v>
      </c>
      <c r="Q55" s="133">
        <v>25.0</v>
      </c>
      <c r="R55" s="133">
        <v>6.0</v>
      </c>
      <c r="S55" s="133">
        <v>19.0</v>
      </c>
      <c r="T55" s="133">
        <v>22.0</v>
      </c>
      <c r="U55" s="133" t="s">
        <v>59</v>
      </c>
      <c r="V55" s="133" t="s">
        <v>59</v>
      </c>
      <c r="W55" s="130"/>
      <c r="X55" s="130"/>
      <c r="Y55" s="130"/>
      <c r="Z55" s="130"/>
      <c r="AA55" s="130"/>
      <c r="AB55" s="130"/>
      <c r="AC55" s="130"/>
      <c r="AD55" s="130"/>
      <c r="AE55" s="130"/>
      <c r="AF55" s="130"/>
      <c r="AG55" s="130"/>
      <c r="AH55" s="130"/>
      <c r="AI55" s="130"/>
      <c r="AJ55" s="130"/>
      <c r="AK55" s="130"/>
      <c r="AL55" s="130"/>
      <c r="AM55" s="130"/>
      <c r="AN55" s="130"/>
    </row>
    <row r="56">
      <c r="A56" s="198" t="s">
        <v>583</v>
      </c>
      <c r="B56" s="133" t="s">
        <v>59</v>
      </c>
      <c r="C56" s="133" t="s">
        <v>59</v>
      </c>
      <c r="D56" s="133" t="s">
        <v>59</v>
      </c>
      <c r="E56" s="133">
        <v>5.0</v>
      </c>
      <c r="F56" s="133">
        <v>11.0</v>
      </c>
      <c r="G56" s="133">
        <v>3.0</v>
      </c>
      <c r="H56" s="133">
        <v>7.0</v>
      </c>
      <c r="I56" s="133">
        <v>10.0</v>
      </c>
      <c r="J56" s="133">
        <v>21.0</v>
      </c>
      <c r="K56" s="133" t="s">
        <v>59</v>
      </c>
      <c r="L56" s="133" t="s">
        <v>59</v>
      </c>
      <c r="M56" s="133" t="s">
        <v>59</v>
      </c>
      <c r="N56" s="133" t="s">
        <v>59</v>
      </c>
      <c r="O56" s="133" t="s">
        <v>59</v>
      </c>
      <c r="P56" s="133" t="s">
        <v>59</v>
      </c>
      <c r="Q56" s="133" t="s">
        <v>59</v>
      </c>
      <c r="R56" s="133" t="s">
        <v>59</v>
      </c>
      <c r="S56" s="133" t="s">
        <v>59</v>
      </c>
      <c r="T56" s="133" t="s">
        <v>59</v>
      </c>
      <c r="U56" s="134" t="s">
        <v>59</v>
      </c>
      <c r="V56" s="133" t="s">
        <v>59</v>
      </c>
      <c r="W56" s="133"/>
      <c r="X56" s="133"/>
      <c r="Y56" s="133"/>
      <c r="Z56" s="133"/>
      <c r="AA56" s="133"/>
      <c r="AB56" s="130"/>
      <c r="AC56" s="130"/>
      <c r="AD56" s="130"/>
      <c r="AE56" s="130"/>
      <c r="AF56" s="130"/>
      <c r="AG56" s="130"/>
      <c r="AH56" s="130"/>
      <c r="AI56" s="130"/>
      <c r="AJ56" s="130"/>
      <c r="AK56" s="130"/>
      <c r="AL56" s="130"/>
      <c r="AM56" s="130"/>
      <c r="AN56" s="130"/>
    </row>
    <row r="57">
      <c r="A57" s="421" t="s">
        <v>587</v>
      </c>
      <c r="B57" s="133" t="s">
        <v>59</v>
      </c>
      <c r="C57" s="133" t="s">
        <v>59</v>
      </c>
      <c r="D57" s="133" t="s">
        <v>59</v>
      </c>
      <c r="E57" s="133" t="s">
        <v>59</v>
      </c>
      <c r="F57" s="133" t="s">
        <v>59</v>
      </c>
      <c r="G57" s="133" t="s">
        <v>59</v>
      </c>
      <c r="H57" s="133" t="s">
        <v>59</v>
      </c>
      <c r="I57" s="133" t="s">
        <v>59</v>
      </c>
      <c r="J57" s="133">
        <v>2.0</v>
      </c>
      <c r="K57" s="133">
        <v>7.0</v>
      </c>
      <c r="L57" s="133">
        <v>5.0</v>
      </c>
      <c r="M57" s="133">
        <v>18.0</v>
      </c>
      <c r="N57" s="133">
        <v>11.0</v>
      </c>
      <c r="O57" s="133">
        <v>0.0</v>
      </c>
      <c r="P57" s="133">
        <v>21.0</v>
      </c>
      <c r="Q57" s="133">
        <v>17.0</v>
      </c>
      <c r="R57" s="133">
        <v>13.0</v>
      </c>
      <c r="S57" s="133" t="s">
        <v>59</v>
      </c>
      <c r="T57" s="133" t="s">
        <v>59</v>
      </c>
      <c r="U57" s="134" t="s">
        <v>59</v>
      </c>
      <c r="V57" s="133" t="s">
        <v>59</v>
      </c>
      <c r="W57" s="130"/>
      <c r="X57" s="130"/>
      <c r="Y57" s="130"/>
      <c r="Z57" s="130"/>
      <c r="AA57" s="130"/>
      <c r="AB57" s="130"/>
      <c r="AC57" s="130"/>
      <c r="AD57" s="130"/>
      <c r="AE57" s="130"/>
      <c r="AF57" s="130"/>
      <c r="AG57" s="130"/>
      <c r="AH57" s="130"/>
      <c r="AI57" s="130"/>
      <c r="AJ57" s="130"/>
      <c r="AK57" s="130"/>
      <c r="AL57" s="130"/>
      <c r="AM57" s="130"/>
      <c r="AN57" s="130"/>
    </row>
    <row r="58">
      <c r="A58" s="196" t="s">
        <v>144</v>
      </c>
      <c r="B58" s="132">
        <v>5.0</v>
      </c>
      <c r="C58" s="133" t="s">
        <v>59</v>
      </c>
      <c r="D58" s="133">
        <v>7.0</v>
      </c>
      <c r="E58" s="133" t="s">
        <v>59</v>
      </c>
      <c r="F58" s="133" t="s">
        <v>59</v>
      </c>
      <c r="G58" s="133" t="s">
        <v>59</v>
      </c>
      <c r="H58" s="133" t="s">
        <v>59</v>
      </c>
      <c r="I58" s="133">
        <v>2.0</v>
      </c>
      <c r="J58" s="130"/>
      <c r="K58" s="133">
        <v>0.0</v>
      </c>
      <c r="L58" s="133">
        <v>0.0</v>
      </c>
      <c r="M58" s="133">
        <v>0.0</v>
      </c>
      <c r="N58" s="133" t="s">
        <v>59</v>
      </c>
      <c r="O58" s="133" t="s">
        <v>59</v>
      </c>
      <c r="P58" s="133" t="s">
        <v>59</v>
      </c>
      <c r="Q58" s="133" t="s">
        <v>59</v>
      </c>
      <c r="R58" s="133" t="s">
        <v>59</v>
      </c>
      <c r="S58" s="133" t="s">
        <v>59</v>
      </c>
      <c r="T58" s="133" t="s">
        <v>59</v>
      </c>
      <c r="U58" s="134" t="s">
        <v>59</v>
      </c>
      <c r="V58" s="133" t="s">
        <v>59</v>
      </c>
      <c r="W58" s="130"/>
      <c r="X58" s="130"/>
      <c r="Y58" s="130"/>
      <c r="Z58" s="130"/>
      <c r="AA58" s="130"/>
      <c r="AB58" s="130"/>
      <c r="AC58" s="130"/>
      <c r="AD58" s="130"/>
      <c r="AE58" s="130"/>
      <c r="AF58" s="130"/>
      <c r="AG58" s="130"/>
      <c r="AH58" s="130"/>
      <c r="AI58" s="130"/>
      <c r="AJ58" s="130"/>
      <c r="AK58" s="130"/>
      <c r="AL58" s="130"/>
      <c r="AM58" s="130"/>
      <c r="AN58" s="130"/>
    </row>
    <row r="59" hidden="1">
      <c r="A59" s="196" t="s">
        <v>517</v>
      </c>
      <c r="B59" s="137">
        <v>4.0</v>
      </c>
      <c r="C59" s="133">
        <v>12.0</v>
      </c>
      <c r="D59" s="133"/>
      <c r="E59" s="133"/>
      <c r="F59" s="133"/>
      <c r="G59" s="133"/>
      <c r="H59" s="133"/>
      <c r="I59" s="133"/>
      <c r="J59" s="133"/>
      <c r="K59" s="133"/>
      <c r="L59" s="133"/>
      <c r="M59" s="133"/>
      <c r="N59" s="133"/>
      <c r="O59" s="133"/>
      <c r="P59" s="133"/>
      <c r="Q59" s="133"/>
      <c r="R59" s="133"/>
      <c r="S59" s="133"/>
      <c r="T59" s="133"/>
      <c r="U59" s="134"/>
      <c r="V59" s="133"/>
      <c r="W59" s="133"/>
      <c r="X59" s="133"/>
      <c r="Y59" s="133"/>
      <c r="Z59" s="133"/>
      <c r="AA59" s="133"/>
      <c r="AB59" s="130"/>
      <c r="AC59" s="130"/>
      <c r="AD59" s="130"/>
      <c r="AE59" s="130"/>
      <c r="AF59" s="130"/>
      <c r="AG59" s="130"/>
      <c r="AH59" s="130"/>
      <c r="AI59" s="130"/>
      <c r="AJ59" s="130"/>
      <c r="AK59" s="130"/>
      <c r="AL59" s="130"/>
      <c r="AM59" s="130"/>
      <c r="AN59" s="130"/>
    </row>
    <row r="60">
      <c r="A60" s="196" t="s">
        <v>588</v>
      </c>
      <c r="B60" s="137" t="s">
        <v>59</v>
      </c>
      <c r="C60" s="133" t="s">
        <v>59</v>
      </c>
      <c r="D60" s="133" t="s">
        <v>59</v>
      </c>
      <c r="E60" s="133" t="s">
        <v>59</v>
      </c>
      <c r="F60" s="133" t="s">
        <v>59</v>
      </c>
      <c r="G60" s="133" t="s">
        <v>59</v>
      </c>
      <c r="H60" s="133" t="s">
        <v>59</v>
      </c>
      <c r="I60" s="133" t="s">
        <v>59</v>
      </c>
      <c r="J60" s="133" t="s">
        <v>59</v>
      </c>
      <c r="K60" s="133" t="s">
        <v>59</v>
      </c>
      <c r="L60" s="133" t="s">
        <v>59</v>
      </c>
      <c r="M60" s="133" t="s">
        <v>59</v>
      </c>
      <c r="N60" s="133" t="s">
        <v>59</v>
      </c>
      <c r="O60" s="133" t="s">
        <v>59</v>
      </c>
      <c r="P60" s="133" t="s">
        <v>59</v>
      </c>
      <c r="Q60" s="133" t="s">
        <v>59</v>
      </c>
      <c r="R60" s="133" t="s">
        <v>59</v>
      </c>
      <c r="S60" s="133" t="s">
        <v>59</v>
      </c>
      <c r="T60" s="133" t="s">
        <v>59</v>
      </c>
      <c r="U60" s="134" t="s">
        <v>59</v>
      </c>
      <c r="V60" s="133" t="s">
        <v>59</v>
      </c>
      <c r="W60" s="133"/>
      <c r="X60" s="133"/>
      <c r="Y60" s="133"/>
      <c r="Z60" s="133"/>
      <c r="AA60" s="133"/>
      <c r="AB60" s="130"/>
      <c r="AC60" s="130"/>
      <c r="AD60" s="130"/>
      <c r="AE60" s="130"/>
      <c r="AF60" s="130"/>
      <c r="AG60" s="130"/>
      <c r="AH60" s="130"/>
      <c r="AI60" s="130"/>
      <c r="AJ60" s="130"/>
      <c r="AK60" s="130"/>
      <c r="AL60" s="130"/>
      <c r="AM60" s="130"/>
      <c r="AN60" s="130"/>
    </row>
    <row r="61">
      <c r="A61" s="407" t="s">
        <v>590</v>
      </c>
      <c r="B61" s="283"/>
      <c r="C61" s="284"/>
      <c r="D61" s="284"/>
      <c r="E61" s="284"/>
      <c r="F61" s="284"/>
      <c r="G61" s="284"/>
      <c r="H61" s="284"/>
      <c r="I61" s="284"/>
      <c r="J61" s="284"/>
      <c r="K61" s="284"/>
      <c r="L61" s="284"/>
      <c r="M61" s="284"/>
      <c r="N61" s="284"/>
      <c r="O61" s="284"/>
      <c r="P61" s="284"/>
      <c r="Q61" s="284"/>
      <c r="R61" s="284"/>
      <c r="S61" s="284"/>
      <c r="T61" s="284"/>
      <c r="U61" s="285"/>
      <c r="V61" s="284"/>
      <c r="W61" s="284"/>
      <c r="X61" s="284"/>
      <c r="Y61" s="284"/>
      <c r="Z61" s="284"/>
      <c r="AA61" s="284"/>
      <c r="AB61" s="128"/>
      <c r="AC61" s="128"/>
      <c r="AD61" s="128"/>
      <c r="AE61" s="128"/>
      <c r="AF61" s="128"/>
      <c r="AG61" s="128"/>
      <c r="AH61" s="128"/>
      <c r="AI61" s="128"/>
      <c r="AJ61" s="128"/>
      <c r="AK61" s="128"/>
      <c r="AL61" s="128"/>
      <c r="AM61" s="128"/>
      <c r="AN61" s="128"/>
    </row>
    <row r="62">
      <c r="A62" s="196" t="s">
        <v>629</v>
      </c>
      <c r="B62" s="401">
        <f t="shared" ref="B62:V62" si="8">B49/B36</f>
        <v>0.2558139535</v>
      </c>
      <c r="C62" s="401">
        <f t="shared" si="8"/>
        <v>0.5</v>
      </c>
      <c r="D62" s="401">
        <f t="shared" si="8"/>
        <v>0.9</v>
      </c>
      <c r="E62" s="401">
        <f t="shared" si="8"/>
        <v>1.142857143</v>
      </c>
      <c r="F62" s="401">
        <f t="shared" si="8"/>
        <v>1</v>
      </c>
      <c r="G62" s="401">
        <f t="shared" si="8"/>
        <v>1</v>
      </c>
      <c r="H62" s="401">
        <f t="shared" si="8"/>
        <v>1</v>
      </c>
      <c r="I62" s="401">
        <f t="shared" si="8"/>
        <v>1.222222222</v>
      </c>
      <c r="J62" s="401">
        <f t="shared" si="8"/>
        <v>0.1304347826</v>
      </c>
      <c r="K62" s="401">
        <f t="shared" si="8"/>
        <v>0.88</v>
      </c>
      <c r="L62" s="401">
        <f t="shared" si="8"/>
        <v>0.8518518519</v>
      </c>
      <c r="M62" s="401">
        <f t="shared" si="8"/>
        <v>1.178571429</v>
      </c>
      <c r="N62" s="401">
        <f t="shared" si="8"/>
        <v>0.9523809524</v>
      </c>
      <c r="O62" s="401">
        <f t="shared" si="8"/>
        <v>0.2380952381</v>
      </c>
      <c r="P62" s="401">
        <f t="shared" si="8"/>
        <v>0.8636363636</v>
      </c>
      <c r="Q62" s="401">
        <f t="shared" si="8"/>
        <v>1</v>
      </c>
      <c r="R62" s="401">
        <f t="shared" si="8"/>
        <v>1.214285714</v>
      </c>
      <c r="S62" s="401">
        <f t="shared" si="8"/>
        <v>1.037037037</v>
      </c>
      <c r="T62" s="401" t="str">
        <f t="shared" si="8"/>
        <v>#VALUE!</v>
      </c>
      <c r="U62" s="401">
        <f t="shared" si="8"/>
        <v>1.230769231</v>
      </c>
      <c r="V62" s="401">
        <f t="shared" si="8"/>
        <v>0.5</v>
      </c>
      <c r="W62" s="133"/>
      <c r="X62" s="133"/>
      <c r="Y62" s="133"/>
      <c r="Z62" s="133"/>
      <c r="AA62" s="133"/>
      <c r="AB62" s="130"/>
      <c r="AC62" s="130"/>
      <c r="AD62" s="130"/>
      <c r="AE62" s="130"/>
      <c r="AF62" s="130"/>
      <c r="AG62" s="130"/>
      <c r="AH62" s="130"/>
      <c r="AI62" s="130"/>
      <c r="AJ62" s="130"/>
      <c r="AK62" s="130"/>
      <c r="AL62" s="130"/>
      <c r="AM62" s="130"/>
      <c r="AN62" s="130"/>
    </row>
    <row r="63">
      <c r="A63" s="196" t="s">
        <v>630</v>
      </c>
      <c r="B63" s="401">
        <f t="shared" ref="B63:V63" si="9">B50/B37</f>
        <v>0.5517241379</v>
      </c>
      <c r="C63" s="401">
        <f t="shared" si="9"/>
        <v>0.6</v>
      </c>
      <c r="D63" s="401">
        <f t="shared" si="9"/>
        <v>0.8260869565</v>
      </c>
      <c r="E63" s="401">
        <f t="shared" si="9"/>
        <v>1.225806452</v>
      </c>
      <c r="F63" s="401">
        <f t="shared" si="9"/>
        <v>1.129032258</v>
      </c>
      <c r="G63" s="401">
        <f t="shared" si="9"/>
        <v>1.081632653</v>
      </c>
      <c r="H63" s="401">
        <f t="shared" si="9"/>
        <v>1</v>
      </c>
      <c r="I63" s="401">
        <f t="shared" si="9"/>
        <v>1.9375</v>
      </c>
      <c r="J63" s="401">
        <f t="shared" si="9"/>
        <v>2.2</v>
      </c>
      <c r="K63" s="401">
        <f t="shared" si="9"/>
        <v>2</v>
      </c>
      <c r="L63" s="401">
        <f t="shared" si="9"/>
        <v>0.5</v>
      </c>
      <c r="M63" s="401" t="str">
        <f t="shared" si="9"/>
        <v>#DIV/0!</v>
      </c>
      <c r="N63" s="401">
        <f t="shared" si="9"/>
        <v>1</v>
      </c>
      <c r="O63" s="401">
        <f t="shared" si="9"/>
        <v>1.304347826</v>
      </c>
      <c r="P63" s="401">
        <f t="shared" si="9"/>
        <v>1.727272727</v>
      </c>
      <c r="Q63" s="401">
        <f t="shared" si="9"/>
        <v>1.333333333</v>
      </c>
      <c r="R63" s="401">
        <f t="shared" si="9"/>
        <v>1.727272727</v>
      </c>
      <c r="S63" s="401">
        <f t="shared" si="9"/>
        <v>1</v>
      </c>
      <c r="T63" s="401">
        <f t="shared" si="9"/>
        <v>0.8775510204</v>
      </c>
      <c r="U63" s="401">
        <f t="shared" si="9"/>
        <v>2.272727273</v>
      </c>
      <c r="V63" s="401">
        <f t="shared" si="9"/>
        <v>0.5454545455</v>
      </c>
      <c r="W63" s="133"/>
      <c r="X63" s="133"/>
      <c r="Y63" s="133"/>
      <c r="Z63" s="133"/>
      <c r="AA63" s="133"/>
      <c r="AB63" s="130"/>
      <c r="AC63" s="130"/>
      <c r="AD63" s="130"/>
      <c r="AE63" s="130"/>
      <c r="AF63" s="130"/>
      <c r="AG63" s="130"/>
      <c r="AH63" s="130"/>
      <c r="AI63" s="130"/>
      <c r="AJ63" s="130"/>
      <c r="AK63" s="130"/>
      <c r="AL63" s="130"/>
      <c r="AM63" s="130"/>
      <c r="AN63" s="130"/>
    </row>
    <row r="64">
      <c r="A64" s="198" t="s">
        <v>631</v>
      </c>
      <c r="B64" s="401" t="str">
        <f t="shared" ref="B64:V64" si="10">B51/B38</f>
        <v>#VALUE!</v>
      </c>
      <c r="C64" s="401" t="str">
        <f t="shared" si="10"/>
        <v>#VALUE!</v>
      </c>
      <c r="D64" s="401" t="str">
        <f t="shared" si="10"/>
        <v>#VALUE!</v>
      </c>
      <c r="E64" s="401" t="str">
        <f t="shared" si="10"/>
        <v>#VALUE!</v>
      </c>
      <c r="F64" s="401" t="str">
        <f t="shared" si="10"/>
        <v>#VALUE!</v>
      </c>
      <c r="G64" s="401" t="str">
        <f t="shared" si="10"/>
        <v>#VALUE!</v>
      </c>
      <c r="H64" s="401" t="str">
        <f t="shared" si="10"/>
        <v>#DIV/0!</v>
      </c>
      <c r="I64" s="401">
        <f t="shared" si="10"/>
        <v>0.75</v>
      </c>
      <c r="J64" s="401">
        <f t="shared" si="10"/>
        <v>0.5</v>
      </c>
      <c r="K64" s="401">
        <f t="shared" si="10"/>
        <v>0.9411764706</v>
      </c>
      <c r="L64" s="401">
        <f t="shared" si="10"/>
        <v>0.4375</v>
      </c>
      <c r="M64" s="401">
        <f t="shared" si="10"/>
        <v>0.8823529412</v>
      </c>
      <c r="N64" s="401">
        <f t="shared" si="10"/>
        <v>1</v>
      </c>
      <c r="O64" s="401" t="str">
        <f t="shared" si="10"/>
        <v>#VALUE!</v>
      </c>
      <c r="P64" s="401">
        <f t="shared" si="10"/>
        <v>1</v>
      </c>
      <c r="Q64" s="401">
        <f t="shared" si="10"/>
        <v>1.2</v>
      </c>
      <c r="R64" s="401">
        <f t="shared" si="10"/>
        <v>1.25</v>
      </c>
      <c r="S64" s="401">
        <f t="shared" si="10"/>
        <v>0.7916666667</v>
      </c>
      <c r="T64" s="401">
        <f t="shared" si="10"/>
        <v>0.65625</v>
      </c>
      <c r="U64" s="401">
        <f t="shared" si="10"/>
        <v>1.583333333</v>
      </c>
      <c r="V64" s="401">
        <f t="shared" si="10"/>
        <v>0.8928571429</v>
      </c>
      <c r="W64" s="133"/>
      <c r="X64" s="133"/>
      <c r="Y64" s="133"/>
      <c r="Z64" s="133"/>
      <c r="AA64" s="133"/>
      <c r="AB64" s="130"/>
      <c r="AC64" s="130"/>
      <c r="AD64" s="130"/>
      <c r="AE64" s="130"/>
      <c r="AF64" s="130"/>
      <c r="AG64" s="130"/>
      <c r="AH64" s="130"/>
      <c r="AI64" s="130"/>
      <c r="AJ64" s="130"/>
      <c r="AK64" s="130"/>
      <c r="AL64" s="130"/>
      <c r="AM64" s="130"/>
      <c r="AN64" s="130"/>
    </row>
    <row r="65">
      <c r="A65" s="198" t="s">
        <v>632</v>
      </c>
      <c r="B65" s="401" t="str">
        <f t="shared" ref="B65:V65" si="11">B52/B39</f>
        <v>#VALUE!</v>
      </c>
      <c r="C65" s="401" t="str">
        <f t="shared" si="11"/>
        <v>#VALUE!</v>
      </c>
      <c r="D65" s="401" t="str">
        <f t="shared" si="11"/>
        <v>#VALUE!</v>
      </c>
      <c r="E65" s="401" t="str">
        <f t="shared" si="11"/>
        <v>#VALUE!</v>
      </c>
      <c r="F65" s="401" t="str">
        <f t="shared" si="11"/>
        <v>#VALUE!</v>
      </c>
      <c r="G65" s="401" t="str">
        <f t="shared" si="11"/>
        <v>#VALUE!</v>
      </c>
      <c r="H65" s="401" t="str">
        <f t="shared" si="11"/>
        <v>#VALUE!</v>
      </c>
      <c r="I65" s="401">
        <f t="shared" si="11"/>
        <v>0</v>
      </c>
      <c r="J65" s="401">
        <f t="shared" si="11"/>
        <v>1</v>
      </c>
      <c r="K65" s="401">
        <f t="shared" si="11"/>
        <v>0.8125</v>
      </c>
      <c r="L65" s="401">
        <f t="shared" si="11"/>
        <v>0.6153846154</v>
      </c>
      <c r="M65" s="401">
        <f t="shared" si="11"/>
        <v>0.2727272727</v>
      </c>
      <c r="N65" s="401">
        <f t="shared" si="11"/>
        <v>0.6428571429</v>
      </c>
      <c r="O65" s="401">
        <f t="shared" si="11"/>
        <v>0.9375</v>
      </c>
      <c r="P65" s="401">
        <f t="shared" si="11"/>
        <v>0.8333333333</v>
      </c>
      <c r="Q65" s="401">
        <f t="shared" si="11"/>
        <v>1.466666667</v>
      </c>
      <c r="R65" s="401">
        <f t="shared" si="11"/>
        <v>0.8333333333</v>
      </c>
      <c r="S65" s="401">
        <f t="shared" si="11"/>
        <v>0.6086956522</v>
      </c>
      <c r="T65" s="401">
        <f t="shared" si="11"/>
        <v>0.4</v>
      </c>
      <c r="U65" s="401">
        <f t="shared" si="11"/>
        <v>0.84</v>
      </c>
      <c r="V65" s="401">
        <f t="shared" si="11"/>
        <v>1</v>
      </c>
      <c r="W65" s="133"/>
      <c r="X65" s="133"/>
      <c r="Y65" s="133"/>
      <c r="Z65" s="133"/>
      <c r="AA65" s="133"/>
      <c r="AB65" s="130"/>
      <c r="AC65" s="130"/>
      <c r="AD65" s="130"/>
      <c r="AE65" s="130"/>
      <c r="AF65" s="130"/>
      <c r="AG65" s="130"/>
      <c r="AH65" s="130"/>
      <c r="AI65" s="130"/>
      <c r="AJ65" s="130"/>
      <c r="AK65" s="130"/>
      <c r="AL65" s="130"/>
      <c r="AM65" s="130"/>
      <c r="AN65" s="130"/>
    </row>
    <row r="66">
      <c r="A66" s="198" t="s">
        <v>633</v>
      </c>
      <c r="B66" s="401" t="str">
        <f t="shared" ref="B66:V66" si="12">B53/B40</f>
        <v>#VALUE!</v>
      </c>
      <c r="C66" s="401" t="str">
        <f t="shared" si="12"/>
        <v>#VALUE!</v>
      </c>
      <c r="D66" s="401" t="str">
        <f t="shared" si="12"/>
        <v>#VALUE!</v>
      </c>
      <c r="E66" s="401" t="str">
        <f t="shared" si="12"/>
        <v>#VALUE!</v>
      </c>
      <c r="F66" s="401" t="str">
        <f t="shared" si="12"/>
        <v>#VALUE!</v>
      </c>
      <c r="G66" s="401" t="str">
        <f t="shared" si="12"/>
        <v>#VALUE!</v>
      </c>
      <c r="H66" s="401" t="str">
        <f t="shared" si="12"/>
        <v>#VALUE!</v>
      </c>
      <c r="I66" s="401" t="str">
        <f t="shared" si="12"/>
        <v>#VALUE!</v>
      </c>
      <c r="J66" s="401" t="str">
        <f t="shared" si="12"/>
        <v>#VALUE!</v>
      </c>
      <c r="K66" s="401" t="str">
        <f t="shared" si="12"/>
        <v>#VALUE!</v>
      </c>
      <c r="L66" s="401" t="str">
        <f t="shared" si="12"/>
        <v>#VALUE!</v>
      </c>
      <c r="M66" s="401" t="str">
        <f t="shared" si="12"/>
        <v>#VALUE!</v>
      </c>
      <c r="N66" s="401" t="str">
        <f t="shared" si="12"/>
        <v>#VALUE!</v>
      </c>
      <c r="O66" s="401" t="str">
        <f t="shared" si="12"/>
        <v>#VALUE!</v>
      </c>
      <c r="P66" s="401" t="str">
        <f t="shared" si="12"/>
        <v>#VALUE!</v>
      </c>
      <c r="Q66" s="401" t="str">
        <f t="shared" si="12"/>
        <v>#VALUE!</v>
      </c>
      <c r="R66" s="401" t="str">
        <f t="shared" si="12"/>
        <v>#VALUE!</v>
      </c>
      <c r="S66" s="401" t="str">
        <f t="shared" si="12"/>
        <v>#VALUE!</v>
      </c>
      <c r="T66" s="401">
        <f t="shared" si="12"/>
        <v>0.375</v>
      </c>
      <c r="U66" s="401">
        <f t="shared" si="12"/>
        <v>0.3</v>
      </c>
      <c r="V66" s="401">
        <f t="shared" si="12"/>
        <v>1.454545455</v>
      </c>
      <c r="W66" s="133"/>
      <c r="X66" s="133"/>
      <c r="Y66" s="133"/>
      <c r="Z66" s="133"/>
      <c r="AA66" s="133"/>
      <c r="AB66" s="130"/>
      <c r="AC66" s="130"/>
      <c r="AD66" s="130"/>
      <c r="AE66" s="130"/>
      <c r="AF66" s="130"/>
      <c r="AG66" s="130"/>
      <c r="AH66" s="130"/>
      <c r="AI66" s="130"/>
      <c r="AJ66" s="130"/>
      <c r="AK66" s="130"/>
      <c r="AL66" s="130"/>
      <c r="AM66" s="130"/>
      <c r="AN66" s="130"/>
    </row>
    <row r="67">
      <c r="A67" s="198" t="s">
        <v>634</v>
      </c>
      <c r="B67" s="401" t="str">
        <f t="shared" ref="B67:V67" si="13">B54/B41</f>
        <v>#VALUE!</v>
      </c>
      <c r="C67" s="401" t="str">
        <f t="shared" si="13"/>
        <v>#VALUE!</v>
      </c>
      <c r="D67" s="401" t="str">
        <f t="shared" si="13"/>
        <v>#VALUE!</v>
      </c>
      <c r="E67" s="401" t="str">
        <f t="shared" si="13"/>
        <v>#VALUE!</v>
      </c>
      <c r="F67" s="401" t="str">
        <f t="shared" si="13"/>
        <v>#VALUE!</v>
      </c>
      <c r="G67" s="401" t="str">
        <f t="shared" si="13"/>
        <v>#VALUE!</v>
      </c>
      <c r="H67" s="401" t="str">
        <f t="shared" si="13"/>
        <v>#VALUE!</v>
      </c>
      <c r="I67" s="401" t="str">
        <f t="shared" si="13"/>
        <v>#VALUE!</v>
      </c>
      <c r="J67" s="401" t="str">
        <f t="shared" si="13"/>
        <v>#VALUE!</v>
      </c>
      <c r="K67" s="401" t="str">
        <f t="shared" si="13"/>
        <v>#VALUE!</v>
      </c>
      <c r="L67" s="401" t="str">
        <f t="shared" si="13"/>
        <v>#VALUE!</v>
      </c>
      <c r="M67" s="401" t="str">
        <f t="shared" si="13"/>
        <v>#VALUE!</v>
      </c>
      <c r="N67" s="401" t="str">
        <f t="shared" si="13"/>
        <v>#VALUE!</v>
      </c>
      <c r="O67" s="401" t="str">
        <f t="shared" si="13"/>
        <v>#VALUE!</v>
      </c>
      <c r="P67" s="401" t="str">
        <f t="shared" si="13"/>
        <v>#VALUE!</v>
      </c>
      <c r="Q67" s="401" t="str">
        <f t="shared" si="13"/>
        <v>#VALUE!</v>
      </c>
      <c r="R67" s="401" t="str">
        <f t="shared" si="13"/>
        <v>#VALUE!</v>
      </c>
      <c r="S67" s="401" t="str">
        <f t="shared" si="13"/>
        <v>#VALUE!</v>
      </c>
      <c r="T67" s="401" t="str">
        <f t="shared" si="13"/>
        <v>#VALUE!</v>
      </c>
      <c r="U67" s="401" t="str">
        <f t="shared" si="13"/>
        <v>#VALUE!</v>
      </c>
      <c r="V67" s="401">
        <f t="shared" si="13"/>
        <v>0.92</v>
      </c>
      <c r="W67" s="133"/>
      <c r="X67" s="133"/>
      <c r="Y67" s="133"/>
      <c r="Z67" s="133"/>
      <c r="AA67" s="133"/>
      <c r="AB67" s="130"/>
      <c r="AC67" s="130"/>
      <c r="AD67" s="130"/>
      <c r="AE67" s="130"/>
      <c r="AF67" s="130"/>
      <c r="AG67" s="130"/>
      <c r="AH67" s="130"/>
      <c r="AI67" s="130"/>
      <c r="AJ67" s="130"/>
      <c r="AK67" s="130"/>
      <c r="AL67" s="130"/>
      <c r="AM67" s="130"/>
      <c r="AN67" s="130"/>
    </row>
    <row r="68">
      <c r="A68" s="196" t="s">
        <v>586</v>
      </c>
      <c r="B68" s="401">
        <f t="shared" ref="B68:T68" si="14">B55/B42</f>
        <v>0.5555555556</v>
      </c>
      <c r="C68" s="401">
        <f t="shared" si="14"/>
        <v>0.347826087</v>
      </c>
      <c r="D68" s="401">
        <f t="shared" si="14"/>
        <v>0.6666666667</v>
      </c>
      <c r="E68" s="401">
        <f t="shared" si="14"/>
        <v>1.074074074</v>
      </c>
      <c r="F68" s="401">
        <f t="shared" si="14"/>
        <v>1</v>
      </c>
      <c r="G68" s="401">
        <f t="shared" si="14"/>
        <v>1</v>
      </c>
      <c r="H68" s="401">
        <f t="shared" si="14"/>
        <v>1.225806452</v>
      </c>
      <c r="I68" s="401">
        <f t="shared" si="14"/>
        <v>1</v>
      </c>
      <c r="J68" s="401">
        <f t="shared" si="14"/>
        <v>0.4193548387</v>
      </c>
      <c r="K68" s="401">
        <f t="shared" si="14"/>
        <v>0.7647058824</v>
      </c>
      <c r="L68" s="401">
        <f t="shared" si="14"/>
        <v>0.9285714286</v>
      </c>
      <c r="M68" s="401">
        <f t="shared" si="14"/>
        <v>1.371428571</v>
      </c>
      <c r="N68" s="401">
        <f t="shared" si="14"/>
        <v>0.6666666667</v>
      </c>
      <c r="O68" s="401">
        <f t="shared" si="14"/>
        <v>1</v>
      </c>
      <c r="P68" s="401">
        <f t="shared" si="14"/>
        <v>1.041666667</v>
      </c>
      <c r="Q68" s="401">
        <f t="shared" si="14"/>
        <v>1.315789474</v>
      </c>
      <c r="R68" s="401">
        <f t="shared" si="14"/>
        <v>0.4615384615</v>
      </c>
      <c r="S68" s="401">
        <f t="shared" si="14"/>
        <v>1.1875</v>
      </c>
      <c r="T68" s="401">
        <f t="shared" si="14"/>
        <v>0.7333333333</v>
      </c>
      <c r="U68" s="401">
        <f t="shared" ref="U68:V68" si="15">U50/U42</f>
        <v>1.136363636</v>
      </c>
      <c r="V68" s="401" t="str">
        <f t="shared" si="15"/>
        <v>#VALUE!</v>
      </c>
      <c r="W68" s="133"/>
      <c r="X68" s="133"/>
      <c r="Y68" s="133"/>
      <c r="Z68" s="133"/>
      <c r="AA68" s="133"/>
      <c r="AB68" s="130"/>
      <c r="AC68" s="130"/>
      <c r="AD68" s="130"/>
      <c r="AE68" s="130"/>
      <c r="AF68" s="130"/>
      <c r="AG68" s="130"/>
      <c r="AH68" s="130"/>
      <c r="AI68" s="130"/>
      <c r="AJ68" s="130"/>
      <c r="AK68" s="130"/>
      <c r="AL68" s="130"/>
      <c r="AM68" s="130"/>
      <c r="AN68" s="130"/>
    </row>
    <row r="69">
      <c r="A69" s="198" t="s">
        <v>583</v>
      </c>
      <c r="B69" s="401" t="str">
        <f t="shared" ref="B69:V69" si="16">B56/B43</f>
        <v>#VALUE!</v>
      </c>
      <c r="C69" s="401" t="str">
        <f t="shared" si="16"/>
        <v>#VALUE!</v>
      </c>
      <c r="D69" s="401" t="str">
        <f t="shared" si="16"/>
        <v>#VALUE!</v>
      </c>
      <c r="E69" s="401">
        <f t="shared" si="16"/>
        <v>0.1923076923</v>
      </c>
      <c r="F69" s="401">
        <f t="shared" si="16"/>
        <v>0.7857142857</v>
      </c>
      <c r="G69" s="401">
        <f t="shared" si="16"/>
        <v>0.1666666667</v>
      </c>
      <c r="H69" s="401">
        <f t="shared" si="16"/>
        <v>0.4375</v>
      </c>
      <c r="I69" s="401">
        <f t="shared" si="16"/>
        <v>0.5555555556</v>
      </c>
      <c r="J69" s="401">
        <f t="shared" si="16"/>
        <v>1</v>
      </c>
      <c r="K69" s="401" t="str">
        <f t="shared" si="16"/>
        <v>#VALUE!</v>
      </c>
      <c r="L69" s="401" t="str">
        <f t="shared" si="16"/>
        <v>#VALUE!</v>
      </c>
      <c r="M69" s="401" t="str">
        <f t="shared" si="16"/>
        <v>#VALUE!</v>
      </c>
      <c r="N69" s="401" t="str">
        <f t="shared" si="16"/>
        <v>#VALUE!</v>
      </c>
      <c r="O69" s="401" t="str">
        <f t="shared" si="16"/>
        <v>#VALUE!</v>
      </c>
      <c r="P69" s="401" t="str">
        <f t="shared" si="16"/>
        <v>#VALUE!</v>
      </c>
      <c r="Q69" s="401" t="str">
        <f t="shared" si="16"/>
        <v>#VALUE!</v>
      </c>
      <c r="R69" s="401" t="str">
        <f t="shared" si="16"/>
        <v>#VALUE!</v>
      </c>
      <c r="S69" s="401" t="str">
        <f t="shared" si="16"/>
        <v>#VALUE!</v>
      </c>
      <c r="T69" s="401" t="str">
        <f t="shared" si="16"/>
        <v>#VALUE!</v>
      </c>
      <c r="U69" s="401" t="str">
        <f t="shared" si="16"/>
        <v>#VALUE!</v>
      </c>
      <c r="V69" s="401" t="str">
        <f t="shared" si="16"/>
        <v>#VALUE!</v>
      </c>
      <c r="W69" s="133"/>
      <c r="X69" s="133"/>
      <c r="Y69" s="133"/>
      <c r="Z69" s="133"/>
      <c r="AA69" s="133"/>
      <c r="AB69" s="130"/>
      <c r="AC69" s="130"/>
      <c r="AD69" s="130"/>
      <c r="AE69" s="130"/>
      <c r="AF69" s="130"/>
      <c r="AG69" s="130"/>
      <c r="AH69" s="130"/>
      <c r="AI69" s="130"/>
      <c r="AJ69" s="130"/>
      <c r="AK69" s="130"/>
      <c r="AL69" s="130"/>
      <c r="AM69" s="130"/>
      <c r="AN69" s="130"/>
    </row>
    <row r="70">
      <c r="A70" s="198" t="s">
        <v>587</v>
      </c>
      <c r="B70" s="401" t="str">
        <f t="shared" ref="B70:V70" si="17">B57/B44</f>
        <v>#VALUE!</v>
      </c>
      <c r="C70" s="401" t="str">
        <f t="shared" si="17"/>
        <v>#VALUE!</v>
      </c>
      <c r="D70" s="401" t="str">
        <f t="shared" si="17"/>
        <v>#VALUE!</v>
      </c>
      <c r="E70" s="401" t="str">
        <f t="shared" si="17"/>
        <v>#VALUE!</v>
      </c>
      <c r="F70" s="401" t="str">
        <f t="shared" si="17"/>
        <v>#VALUE!</v>
      </c>
      <c r="G70" s="401" t="str">
        <f t="shared" si="17"/>
        <v>#VALUE!</v>
      </c>
      <c r="H70" s="401" t="str">
        <f t="shared" si="17"/>
        <v>#VALUE!</v>
      </c>
      <c r="I70" s="401" t="str">
        <f t="shared" si="17"/>
        <v>#VALUE!</v>
      </c>
      <c r="J70" s="401" t="str">
        <f t="shared" si="17"/>
        <v>#DIV/0!</v>
      </c>
      <c r="K70" s="401">
        <f t="shared" si="17"/>
        <v>0.35</v>
      </c>
      <c r="L70" s="401">
        <f t="shared" si="17"/>
        <v>0.2777777778</v>
      </c>
      <c r="M70" s="401">
        <f t="shared" si="17"/>
        <v>0.8571428571</v>
      </c>
      <c r="N70" s="401">
        <f t="shared" si="17"/>
        <v>1</v>
      </c>
      <c r="O70" s="401">
        <f t="shared" si="17"/>
        <v>0</v>
      </c>
      <c r="P70" s="401">
        <f t="shared" si="17"/>
        <v>1.166666667</v>
      </c>
      <c r="Q70" s="401">
        <f t="shared" si="17"/>
        <v>1.214285714</v>
      </c>
      <c r="R70" s="401">
        <f t="shared" si="17"/>
        <v>1</v>
      </c>
      <c r="S70" s="401" t="str">
        <f t="shared" si="17"/>
        <v>#VALUE!</v>
      </c>
      <c r="T70" s="401" t="str">
        <f t="shared" si="17"/>
        <v>#VALUE!</v>
      </c>
      <c r="U70" s="401" t="str">
        <f t="shared" si="17"/>
        <v>#VALUE!</v>
      </c>
      <c r="V70" s="401" t="str">
        <f t="shared" si="17"/>
        <v>#VALUE!</v>
      </c>
      <c r="W70" s="133"/>
      <c r="X70" s="133"/>
      <c r="Y70" s="133"/>
      <c r="Z70" s="133"/>
      <c r="AA70" s="133"/>
      <c r="AB70" s="130"/>
      <c r="AC70" s="130"/>
      <c r="AD70" s="130"/>
      <c r="AE70" s="130"/>
      <c r="AF70" s="130"/>
      <c r="AG70" s="130"/>
      <c r="AH70" s="130"/>
      <c r="AI70" s="130"/>
      <c r="AJ70" s="130"/>
      <c r="AK70" s="130"/>
      <c r="AL70" s="130"/>
      <c r="AM70" s="130"/>
      <c r="AN70" s="130"/>
    </row>
    <row r="71">
      <c r="A71" s="196" t="s">
        <v>144</v>
      </c>
      <c r="B71" s="401" t="str">
        <f t="shared" ref="B71:V71" si="18">B58/B45</f>
        <v>#VALUE!</v>
      </c>
      <c r="C71" s="401" t="str">
        <f t="shared" si="18"/>
        <v>#VALUE!</v>
      </c>
      <c r="D71" s="401" t="str">
        <f t="shared" si="18"/>
        <v>#DIV/0!</v>
      </c>
      <c r="E71" s="401" t="str">
        <f t="shared" si="18"/>
        <v>#VALUE!</v>
      </c>
      <c r="F71" s="401" t="str">
        <f t="shared" si="18"/>
        <v>#VALUE!</v>
      </c>
      <c r="G71" s="401" t="str">
        <f t="shared" si="18"/>
        <v>#VALUE!</v>
      </c>
      <c r="H71" s="401" t="str">
        <f t="shared" si="18"/>
        <v>#VALUE!</v>
      </c>
      <c r="I71" s="401" t="str">
        <f t="shared" si="18"/>
        <v>#DIV/0!</v>
      </c>
      <c r="J71" s="401" t="str">
        <f t="shared" si="18"/>
        <v>#VALUE!</v>
      </c>
      <c r="K71" s="401" t="str">
        <f t="shared" si="18"/>
        <v>#DIV/0!</v>
      </c>
      <c r="L71" s="401" t="str">
        <f t="shared" si="18"/>
        <v>#DIV/0!</v>
      </c>
      <c r="M71" s="401" t="str">
        <f t="shared" si="18"/>
        <v>#DIV/0!</v>
      </c>
      <c r="N71" s="401" t="str">
        <f t="shared" si="18"/>
        <v>#VALUE!</v>
      </c>
      <c r="O71" s="401" t="str">
        <f t="shared" si="18"/>
        <v>#VALUE!</v>
      </c>
      <c r="P71" s="401" t="str">
        <f t="shared" si="18"/>
        <v>#VALUE!</v>
      </c>
      <c r="Q71" s="401" t="str">
        <f t="shared" si="18"/>
        <v>#VALUE!</v>
      </c>
      <c r="R71" s="401" t="str">
        <f t="shared" si="18"/>
        <v>#VALUE!</v>
      </c>
      <c r="S71" s="401" t="str">
        <f t="shared" si="18"/>
        <v>#VALUE!</v>
      </c>
      <c r="T71" s="401" t="str">
        <f t="shared" si="18"/>
        <v>#VALUE!</v>
      </c>
      <c r="U71" s="401" t="str">
        <f t="shared" si="18"/>
        <v>#VALUE!</v>
      </c>
      <c r="V71" s="401" t="str">
        <f t="shared" si="18"/>
        <v>#VALUE!</v>
      </c>
      <c r="W71" s="133"/>
      <c r="X71" s="133"/>
      <c r="Y71" s="133"/>
      <c r="Z71" s="133"/>
      <c r="AA71" s="133"/>
      <c r="AB71" s="130"/>
      <c r="AC71" s="130"/>
      <c r="AD71" s="130"/>
      <c r="AE71" s="130"/>
      <c r="AF71" s="130"/>
      <c r="AG71" s="130"/>
      <c r="AH71" s="130"/>
      <c r="AI71" s="130"/>
      <c r="AJ71" s="130"/>
      <c r="AK71" s="130"/>
      <c r="AL71" s="130"/>
      <c r="AM71" s="130"/>
      <c r="AN71" s="130"/>
    </row>
    <row r="72" hidden="1">
      <c r="A72" s="409" t="s">
        <v>517</v>
      </c>
      <c r="B72" s="401">
        <f t="shared" ref="B72:I72" si="19">B59/B46</f>
        <v>1</v>
      </c>
      <c r="C72" s="401">
        <f t="shared" si="19"/>
        <v>1.5</v>
      </c>
      <c r="D72" s="401" t="str">
        <f t="shared" si="19"/>
        <v>#DIV/0!</v>
      </c>
      <c r="E72" s="401" t="str">
        <f t="shared" si="19"/>
        <v>#DIV/0!</v>
      </c>
      <c r="F72" s="401" t="str">
        <f t="shared" si="19"/>
        <v>#DIV/0!</v>
      </c>
      <c r="G72" s="401" t="str">
        <f t="shared" si="19"/>
        <v>#DIV/0!</v>
      </c>
      <c r="H72" s="401" t="str">
        <f t="shared" si="19"/>
        <v>#DIV/0!</v>
      </c>
      <c r="I72" s="401" t="str">
        <f t="shared" si="19"/>
        <v>#DIV/0!</v>
      </c>
      <c r="O72" s="401" t="str">
        <f>O59/O46</f>
        <v>#DIV/0!</v>
      </c>
      <c r="U72" s="31"/>
    </row>
    <row r="73">
      <c r="A73" s="409" t="s">
        <v>588</v>
      </c>
      <c r="B73" s="401" t="str">
        <f t="shared" ref="B73:V73" si="20">B60/B47</f>
        <v>#VALUE!</v>
      </c>
      <c r="C73" s="401" t="str">
        <f t="shared" si="20"/>
        <v>#VALUE!</v>
      </c>
      <c r="D73" s="401" t="str">
        <f t="shared" si="20"/>
        <v>#VALUE!</v>
      </c>
      <c r="E73" s="401" t="str">
        <f t="shared" si="20"/>
        <v>#VALUE!</v>
      </c>
      <c r="F73" s="401" t="str">
        <f t="shared" si="20"/>
        <v>#VALUE!</v>
      </c>
      <c r="G73" s="401" t="str">
        <f t="shared" si="20"/>
        <v>#VALUE!</v>
      </c>
      <c r="H73" s="401" t="str">
        <f t="shared" si="20"/>
        <v>#VALUE!</v>
      </c>
      <c r="I73" s="401" t="str">
        <f t="shared" si="20"/>
        <v>#VALUE!</v>
      </c>
      <c r="J73" s="401" t="str">
        <f t="shared" si="20"/>
        <v>#VALUE!</v>
      </c>
      <c r="K73" s="401" t="str">
        <f t="shared" si="20"/>
        <v>#VALUE!</v>
      </c>
      <c r="L73" s="401" t="str">
        <f t="shared" si="20"/>
        <v>#VALUE!</v>
      </c>
      <c r="M73" s="401" t="str">
        <f t="shared" si="20"/>
        <v>#VALUE!</v>
      </c>
      <c r="N73" s="401" t="str">
        <f t="shared" si="20"/>
        <v>#VALUE!</v>
      </c>
      <c r="O73" s="401" t="str">
        <f t="shared" si="20"/>
        <v>#VALUE!</v>
      </c>
      <c r="P73" s="401" t="str">
        <f t="shared" si="20"/>
        <v>#VALUE!</v>
      </c>
      <c r="Q73" s="401" t="str">
        <f t="shared" si="20"/>
        <v>#VALUE!</v>
      </c>
      <c r="R73" s="401" t="str">
        <f t="shared" si="20"/>
        <v>#VALUE!</v>
      </c>
      <c r="S73" s="401" t="str">
        <f t="shared" si="20"/>
        <v>#VALUE!</v>
      </c>
      <c r="T73" s="401" t="str">
        <f t="shared" si="20"/>
        <v>#VALUE!</v>
      </c>
      <c r="U73" s="401" t="str">
        <f t="shared" si="20"/>
        <v>#VALUE!</v>
      </c>
      <c r="V73" s="401" t="str">
        <f t="shared" si="20"/>
        <v>#VALUE!</v>
      </c>
    </row>
    <row r="74">
      <c r="A74" s="126" t="s">
        <v>591</v>
      </c>
      <c r="B74" s="410"/>
      <c r="C74" s="403"/>
      <c r="D74" s="403"/>
      <c r="E74" s="403"/>
      <c r="F74" s="403"/>
      <c r="G74" s="403"/>
      <c r="H74" s="403"/>
      <c r="I74" s="403"/>
      <c r="J74" s="403"/>
      <c r="K74" s="403"/>
      <c r="L74" s="403"/>
      <c r="M74" s="403"/>
      <c r="N74" s="403"/>
      <c r="O74" s="403"/>
      <c r="P74" s="403"/>
      <c r="Q74" s="403"/>
      <c r="R74" s="403"/>
      <c r="S74" s="403"/>
      <c r="T74" s="403"/>
      <c r="U74" s="411"/>
      <c r="V74" s="403"/>
      <c r="W74" s="403"/>
      <c r="X74" s="403"/>
      <c r="Y74" s="403"/>
      <c r="Z74" s="403"/>
      <c r="AA74" s="403"/>
      <c r="AB74" s="403"/>
      <c r="AC74" s="403"/>
      <c r="AD74" s="403"/>
      <c r="AE74" s="403"/>
      <c r="AF74" s="403"/>
      <c r="AG74" s="403"/>
      <c r="AH74" s="403"/>
      <c r="AI74" s="403"/>
      <c r="AJ74" s="403"/>
      <c r="AK74" s="403"/>
      <c r="AL74" s="403"/>
      <c r="AM74" s="403"/>
      <c r="AN74" s="403"/>
    </row>
    <row r="75">
      <c r="A75" s="412" t="s">
        <v>22</v>
      </c>
      <c r="B75" s="413">
        <v>57.0</v>
      </c>
      <c r="C75" s="199">
        <v>76.0</v>
      </c>
      <c r="D75" s="199">
        <v>50.0</v>
      </c>
      <c r="E75" s="199">
        <v>53.0</v>
      </c>
      <c r="F75" s="199">
        <v>39.0</v>
      </c>
      <c r="G75" s="199">
        <v>51.0</v>
      </c>
      <c r="H75" s="199">
        <v>57.0</v>
      </c>
      <c r="U75" s="31"/>
    </row>
    <row r="76">
      <c r="A76" s="412" t="s">
        <v>23</v>
      </c>
      <c r="B76" s="413">
        <v>8.0</v>
      </c>
      <c r="C76" s="199">
        <v>3.0</v>
      </c>
      <c r="D76" s="199">
        <v>2.0</v>
      </c>
      <c r="E76" s="199">
        <v>2.0</v>
      </c>
      <c r="F76" s="199">
        <v>0.0</v>
      </c>
      <c r="G76" s="199">
        <v>13.0</v>
      </c>
      <c r="H76" s="199">
        <v>3.0</v>
      </c>
      <c r="U76" s="31"/>
    </row>
    <row r="77">
      <c r="A77" s="412" t="s">
        <v>592</v>
      </c>
      <c r="B77" s="413">
        <v>65.0</v>
      </c>
      <c r="C77" s="199">
        <v>79.0</v>
      </c>
      <c r="D77" s="199">
        <v>52.0</v>
      </c>
      <c r="E77" s="199">
        <v>55.0</v>
      </c>
      <c r="F77" s="199">
        <v>39.0</v>
      </c>
      <c r="G77" s="199">
        <v>64.0</v>
      </c>
      <c r="H77" s="199">
        <v>60.0</v>
      </c>
      <c r="U77" s="31"/>
    </row>
    <row r="78">
      <c r="A78" s="412" t="s">
        <v>593</v>
      </c>
      <c r="B78" s="413">
        <v>49.0</v>
      </c>
      <c r="C78" s="199">
        <v>45.0</v>
      </c>
      <c r="D78" s="199">
        <v>52.0</v>
      </c>
      <c r="E78" s="199">
        <v>55.0</v>
      </c>
      <c r="F78" s="199">
        <v>39.0</v>
      </c>
      <c r="G78" s="199">
        <v>54.0</v>
      </c>
      <c r="H78" s="199">
        <v>60.0</v>
      </c>
      <c r="U78" s="31"/>
    </row>
    <row r="79">
      <c r="A79" s="412" t="s">
        <v>37</v>
      </c>
      <c r="B79" s="415">
        <f t="shared" ref="B79:H79" si="21">B78/B75</f>
        <v>0.8596491228</v>
      </c>
      <c r="C79" s="415">
        <f t="shared" si="21"/>
        <v>0.5921052632</v>
      </c>
      <c r="D79" s="415">
        <f t="shared" si="21"/>
        <v>1.04</v>
      </c>
      <c r="E79" s="415">
        <f t="shared" si="21"/>
        <v>1.037735849</v>
      </c>
      <c r="F79" s="415">
        <f t="shared" si="21"/>
        <v>1</v>
      </c>
      <c r="G79" s="415">
        <f t="shared" si="21"/>
        <v>1.058823529</v>
      </c>
      <c r="H79" s="415">
        <f t="shared" si="21"/>
        <v>1.052631579</v>
      </c>
      <c r="U79" s="31"/>
    </row>
    <row r="80">
      <c r="A80" s="126" t="s">
        <v>225</v>
      </c>
      <c r="B80" s="410"/>
      <c r="C80" s="403"/>
      <c r="D80" s="403"/>
      <c r="E80" s="403"/>
      <c r="F80" s="403"/>
      <c r="G80" s="403"/>
      <c r="H80" s="403"/>
      <c r="I80" s="403"/>
      <c r="J80" s="403"/>
      <c r="K80" s="403"/>
      <c r="L80" s="403"/>
      <c r="M80" s="403"/>
      <c r="N80" s="403"/>
      <c r="O80" s="403"/>
      <c r="P80" s="403"/>
      <c r="Q80" s="403"/>
      <c r="R80" s="403"/>
      <c r="S80" s="403"/>
      <c r="T80" s="403"/>
      <c r="U80" s="403"/>
      <c r="V80" s="411"/>
      <c r="W80" s="416">
        <v>31.0</v>
      </c>
      <c r="X80" s="403"/>
      <c r="Y80" s="403"/>
      <c r="Z80" s="403"/>
      <c r="AA80" s="403"/>
      <c r="AB80" s="403"/>
      <c r="AC80" s="403"/>
      <c r="AD80" s="403"/>
      <c r="AE80" s="403"/>
      <c r="AF80" s="403"/>
      <c r="AG80" s="403"/>
      <c r="AH80" s="403"/>
      <c r="AI80" s="403"/>
      <c r="AJ80" s="403"/>
      <c r="AK80" s="403"/>
      <c r="AL80" s="403"/>
      <c r="AM80" s="403"/>
      <c r="AN80" s="403"/>
    </row>
    <row r="81">
      <c r="B81" s="138"/>
      <c r="U81" s="31"/>
    </row>
    <row r="82">
      <c r="B82" s="138"/>
      <c r="U82" s="31"/>
    </row>
    <row r="83">
      <c r="B83" s="138"/>
      <c r="U83" s="31"/>
    </row>
    <row r="84">
      <c r="B84" s="138"/>
      <c r="U84" s="31"/>
    </row>
    <row r="85">
      <c r="B85" s="138"/>
      <c r="U85" s="31"/>
    </row>
    <row r="86">
      <c r="B86" s="138"/>
      <c r="U86" s="31"/>
    </row>
    <row r="87">
      <c r="B87" s="138"/>
      <c r="U87" s="31"/>
    </row>
    <row r="88">
      <c r="B88" s="138"/>
      <c r="U88" s="31"/>
    </row>
    <row r="89">
      <c r="B89" s="138"/>
      <c r="U89" s="31"/>
    </row>
    <row r="90">
      <c r="B90" s="138"/>
      <c r="U90" s="31"/>
    </row>
    <row r="91">
      <c r="B91" s="138"/>
      <c r="U91" s="31"/>
    </row>
    <row r="92">
      <c r="B92" s="138"/>
      <c r="U92" s="31"/>
    </row>
    <row r="93">
      <c r="B93" s="138"/>
      <c r="U93" s="31"/>
    </row>
    <row r="94">
      <c r="B94" s="138"/>
      <c r="U94" s="31"/>
    </row>
    <row r="95">
      <c r="B95" s="138"/>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row r="947">
      <c r="B947" s="138"/>
      <c r="U947" s="31"/>
    </row>
    <row r="948">
      <c r="B948" s="138"/>
      <c r="U948" s="31"/>
    </row>
    <row r="949">
      <c r="B949" s="138"/>
      <c r="U949" s="31"/>
    </row>
    <row r="950">
      <c r="B950" s="138"/>
      <c r="U950" s="31"/>
    </row>
    <row r="951">
      <c r="B951" s="138"/>
      <c r="U951" s="31"/>
    </row>
    <row r="952">
      <c r="B952" s="138"/>
      <c r="U952" s="31"/>
    </row>
    <row r="953">
      <c r="B953" s="138"/>
      <c r="U953" s="31"/>
    </row>
    <row r="954">
      <c r="B954" s="138"/>
      <c r="U954" s="31"/>
    </row>
    <row r="955">
      <c r="B955" s="138"/>
      <c r="U955" s="31"/>
    </row>
    <row r="956">
      <c r="B956" s="138"/>
      <c r="U956" s="31"/>
    </row>
    <row r="957">
      <c r="B957" s="138"/>
      <c r="U957" s="31"/>
    </row>
  </sheetData>
  <mergeCells count="16">
    <mergeCell ref="H3:I3"/>
    <mergeCell ref="J3:L3"/>
    <mergeCell ref="M3:N3"/>
    <mergeCell ref="O3:P3"/>
    <mergeCell ref="Q3:R3"/>
    <mergeCell ref="S3:T3"/>
    <mergeCell ref="U3:V3"/>
    <mergeCell ref="W3:Y3"/>
    <mergeCell ref="B2:G2"/>
    <mergeCell ref="H2:N2"/>
    <mergeCell ref="O2:T2"/>
    <mergeCell ref="U2:AA2"/>
    <mergeCell ref="B3:C3"/>
    <mergeCell ref="D3:E3"/>
    <mergeCell ref="F3:G3"/>
    <mergeCell ref="Z3:AA3"/>
  </mergeCells>
  <dataValidations>
    <dataValidation type="list" allowBlank="1" showErrorMessage="1" sqref="B24:AA24 B32:AA32">
      <formula1>"0%,100%"</formula1>
    </dataValidation>
  </dataValidation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47.13"/>
    <col customWidth="1" min="2" max="2" width="14.75"/>
    <col customWidth="1" min="5" max="5" width="14.0"/>
  </cols>
  <sheetData>
    <row r="1" ht="30.0" customHeight="1">
      <c r="A1" s="1" t="s">
        <v>635</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c r="AB2" s="206"/>
      <c r="AC2" s="206"/>
      <c r="AD2" s="206"/>
      <c r="AE2" s="206"/>
      <c r="AF2" s="206"/>
      <c r="AG2" s="206"/>
      <c r="AH2" s="206"/>
      <c r="AI2" s="206"/>
      <c r="AJ2" s="206"/>
      <c r="AK2" s="206"/>
      <c r="AL2" s="206"/>
      <c r="AM2" s="206"/>
      <c r="AN2" s="206"/>
    </row>
    <row r="3">
      <c r="A3" s="6" t="s">
        <v>6</v>
      </c>
      <c r="B3" s="13" t="s">
        <v>7</v>
      </c>
      <c r="C3" s="14"/>
      <c r="D3" s="15" t="s">
        <v>8</v>
      </c>
      <c r="E3" s="9"/>
      <c r="F3" s="10" t="s">
        <v>9</v>
      </c>
      <c r="G3" s="9"/>
      <c r="H3" s="15" t="s">
        <v>10</v>
      </c>
      <c r="I3" s="9"/>
      <c r="J3" s="10" t="s">
        <v>11</v>
      </c>
      <c r="K3" s="8"/>
      <c r="L3" s="9"/>
      <c r="M3" s="16" t="s">
        <v>12</v>
      </c>
      <c r="N3" s="9"/>
      <c r="O3" s="10" t="s">
        <v>13</v>
      </c>
      <c r="P3" s="9"/>
      <c r="Q3" s="15" t="s">
        <v>14</v>
      </c>
      <c r="R3" s="9"/>
      <c r="S3" s="10" t="s">
        <v>15</v>
      </c>
      <c r="T3" s="9"/>
      <c r="U3" s="17" t="s">
        <v>16</v>
      </c>
      <c r="V3" s="9"/>
      <c r="W3" s="10" t="s">
        <v>17</v>
      </c>
      <c r="X3" s="8"/>
      <c r="Y3" s="9"/>
      <c r="Z3" s="16" t="s">
        <v>18</v>
      </c>
      <c r="AA3" s="9"/>
      <c r="AB3" s="19"/>
      <c r="AC3" s="19"/>
      <c r="AD3" s="19"/>
      <c r="AE3" s="19"/>
      <c r="AF3" s="19"/>
      <c r="AG3" s="19"/>
      <c r="AH3" s="19"/>
      <c r="AI3" s="19"/>
      <c r="AJ3" s="19"/>
      <c r="AK3" s="19"/>
      <c r="AL3" s="19"/>
      <c r="AM3" s="19"/>
      <c r="AN3" s="19"/>
    </row>
    <row r="4">
      <c r="A4" s="6" t="s">
        <v>19</v>
      </c>
      <c r="B4" s="18" t="s">
        <v>636</v>
      </c>
      <c r="C4" s="18" t="s">
        <v>637</v>
      </c>
      <c r="D4" s="18" t="s">
        <v>161</v>
      </c>
      <c r="E4" s="18" t="s">
        <v>638</v>
      </c>
      <c r="F4" s="18" t="s">
        <v>639</v>
      </c>
      <c r="G4" s="18" t="s">
        <v>640</v>
      </c>
      <c r="H4" s="18" t="s">
        <v>165</v>
      </c>
      <c r="I4" s="18" t="s">
        <v>166</v>
      </c>
      <c r="J4" s="18" t="s">
        <v>641</v>
      </c>
      <c r="K4" s="18" t="s">
        <v>168</v>
      </c>
      <c r="L4" s="18" t="s">
        <v>169</v>
      </c>
      <c r="M4" s="18" t="s">
        <v>642</v>
      </c>
      <c r="N4" s="18" t="s">
        <v>171</v>
      </c>
      <c r="O4" s="18" t="s">
        <v>172</v>
      </c>
      <c r="P4" s="18" t="s">
        <v>173</v>
      </c>
      <c r="Q4" s="18" t="s">
        <v>643</v>
      </c>
      <c r="R4" s="18" t="s">
        <v>175</v>
      </c>
      <c r="S4" s="18" t="s">
        <v>176</v>
      </c>
      <c r="T4" s="422" t="s">
        <v>177</v>
      </c>
      <c r="U4" s="18"/>
      <c r="V4" s="18"/>
      <c r="W4" s="18"/>
      <c r="X4" s="18"/>
      <c r="Y4" s="18"/>
      <c r="Z4" s="18"/>
      <c r="AA4" s="18"/>
      <c r="AB4" s="18"/>
      <c r="AC4" s="18"/>
      <c r="AD4" s="18"/>
      <c r="AE4" s="18"/>
      <c r="AF4" s="18"/>
      <c r="AG4" s="18"/>
      <c r="AH4" s="18"/>
      <c r="AI4" s="18"/>
      <c r="AJ4" s="18"/>
      <c r="AK4" s="18"/>
      <c r="AL4" s="18"/>
      <c r="AM4" s="18"/>
      <c r="AN4" s="18"/>
    </row>
    <row r="5">
      <c r="A5" s="22" t="s">
        <v>20</v>
      </c>
      <c r="B5" s="423" t="s">
        <v>644</v>
      </c>
      <c r="C5" s="423" t="s">
        <v>645</v>
      </c>
      <c r="D5" s="423" t="s">
        <v>646</v>
      </c>
      <c r="E5" s="423" t="s">
        <v>647</v>
      </c>
      <c r="F5" s="423" t="s">
        <v>648</v>
      </c>
      <c r="G5" s="423" t="s">
        <v>649</v>
      </c>
      <c r="H5" s="423" t="s">
        <v>650</v>
      </c>
      <c r="I5" s="423" t="s">
        <v>651</v>
      </c>
      <c r="J5" s="423" t="s">
        <v>652</v>
      </c>
      <c r="K5" s="423" t="s">
        <v>653</v>
      </c>
      <c r="L5" s="423" t="s">
        <v>654</v>
      </c>
      <c r="M5" s="423" t="s">
        <v>655</v>
      </c>
      <c r="N5" s="423" t="s">
        <v>656</v>
      </c>
      <c r="O5" s="423" t="s">
        <v>657</v>
      </c>
      <c r="P5" s="423" t="s">
        <v>658</v>
      </c>
      <c r="Q5" s="423" t="s">
        <v>659</v>
      </c>
      <c r="R5" s="423" t="s">
        <v>660</v>
      </c>
      <c r="S5" s="423" t="s">
        <v>661</v>
      </c>
      <c r="T5" s="424" t="s">
        <v>662</v>
      </c>
      <c r="U5" s="211"/>
      <c r="V5" s="211"/>
      <c r="W5" s="211"/>
      <c r="X5" s="211"/>
      <c r="Y5" s="211"/>
      <c r="Z5" s="211"/>
      <c r="AA5" s="211"/>
      <c r="AB5" s="211"/>
      <c r="AC5" s="211"/>
      <c r="AD5" s="211"/>
      <c r="AE5" s="211"/>
      <c r="AF5" s="211"/>
      <c r="AG5" s="211"/>
      <c r="AH5" s="211"/>
      <c r="AI5" s="211"/>
      <c r="AJ5" s="211"/>
      <c r="AK5" s="211"/>
      <c r="AL5" s="211"/>
      <c r="AM5" s="211"/>
      <c r="AN5" s="211"/>
    </row>
    <row r="6">
      <c r="A6" s="29"/>
      <c r="B6" s="30"/>
      <c r="U6" s="31"/>
    </row>
    <row r="7">
      <c r="A7" s="32" t="s">
        <v>21</v>
      </c>
      <c r="B7" s="33">
        <f t="shared" ref="B7:AA7" si="1">B8+B9</f>
        <v>110</v>
      </c>
      <c r="C7" s="33">
        <f t="shared" si="1"/>
        <v>129</v>
      </c>
      <c r="D7" s="33">
        <f t="shared" si="1"/>
        <v>139</v>
      </c>
      <c r="E7" s="33">
        <f t="shared" si="1"/>
        <v>142</v>
      </c>
      <c r="F7" s="33">
        <f t="shared" si="1"/>
        <v>172</v>
      </c>
      <c r="G7" s="33">
        <f t="shared" si="1"/>
        <v>174</v>
      </c>
      <c r="H7" s="33">
        <f t="shared" si="1"/>
        <v>124</v>
      </c>
      <c r="I7" s="33">
        <f t="shared" si="1"/>
        <v>228</v>
      </c>
      <c r="J7" s="33">
        <f t="shared" si="1"/>
        <v>216</v>
      </c>
      <c r="K7" s="33">
        <f t="shared" si="1"/>
        <v>208</v>
      </c>
      <c r="L7" s="33">
        <f t="shared" si="1"/>
        <v>212</v>
      </c>
      <c r="M7" s="33">
        <f t="shared" si="1"/>
        <v>188</v>
      </c>
      <c r="N7" s="33">
        <f t="shared" si="1"/>
        <v>204</v>
      </c>
      <c r="O7" s="33">
        <f t="shared" si="1"/>
        <v>126</v>
      </c>
      <c r="P7" s="33">
        <f t="shared" si="1"/>
        <v>198</v>
      </c>
      <c r="Q7" s="33">
        <f t="shared" si="1"/>
        <v>127</v>
      </c>
      <c r="R7" s="33">
        <f t="shared" si="1"/>
        <v>110</v>
      </c>
      <c r="S7" s="33">
        <f t="shared" si="1"/>
        <v>136</v>
      </c>
      <c r="T7" s="425">
        <f t="shared" si="1"/>
        <v>119</v>
      </c>
      <c r="U7" s="33" t="str">
        <f t="shared" si="1"/>
        <v>#VALUE!</v>
      </c>
      <c r="V7" s="33" t="str">
        <f t="shared" si="1"/>
        <v>#VALUE!</v>
      </c>
      <c r="W7" s="33" t="str">
        <f t="shared" si="1"/>
        <v>#VALUE!</v>
      </c>
      <c r="X7" s="33" t="str">
        <f t="shared" si="1"/>
        <v>#VALUE!</v>
      </c>
      <c r="Y7" s="33" t="str">
        <f t="shared" si="1"/>
        <v>#VALUE!</v>
      </c>
      <c r="Z7" s="33" t="str">
        <f t="shared" si="1"/>
        <v>#VALUE!</v>
      </c>
      <c r="AA7" s="33" t="str">
        <f t="shared" si="1"/>
        <v>#VALUE!</v>
      </c>
      <c r="AB7" s="46"/>
      <c r="AC7" s="46"/>
      <c r="AD7" s="46"/>
      <c r="AE7" s="46"/>
      <c r="AF7" s="46"/>
      <c r="AG7" s="46"/>
      <c r="AH7" s="46"/>
      <c r="AI7" s="46"/>
      <c r="AJ7" s="46"/>
      <c r="AK7" s="46"/>
      <c r="AL7" s="46"/>
      <c r="AM7" s="46"/>
      <c r="AN7" s="46"/>
    </row>
    <row r="8">
      <c r="A8" s="37" t="s">
        <v>22</v>
      </c>
      <c r="B8" s="38">
        <f t="shared" ref="B8:AA8" si="2">B36</f>
        <v>110</v>
      </c>
      <c r="C8" s="38">
        <f t="shared" si="2"/>
        <v>126</v>
      </c>
      <c r="D8" s="38">
        <f t="shared" si="2"/>
        <v>133</v>
      </c>
      <c r="E8" s="38">
        <f t="shared" si="2"/>
        <v>136</v>
      </c>
      <c r="F8" s="38">
        <f t="shared" si="2"/>
        <v>157</v>
      </c>
      <c r="G8" s="38">
        <f t="shared" si="2"/>
        <v>168</v>
      </c>
      <c r="H8" s="38">
        <f t="shared" si="2"/>
        <v>114</v>
      </c>
      <c r="I8" s="38">
        <f t="shared" si="2"/>
        <v>198</v>
      </c>
      <c r="J8" s="38">
        <f t="shared" si="2"/>
        <v>181</v>
      </c>
      <c r="K8" s="38">
        <f t="shared" si="2"/>
        <v>162</v>
      </c>
      <c r="L8" s="38">
        <f t="shared" si="2"/>
        <v>193</v>
      </c>
      <c r="M8" s="38">
        <f t="shared" si="2"/>
        <v>173</v>
      </c>
      <c r="N8" s="38">
        <f t="shared" si="2"/>
        <v>173</v>
      </c>
      <c r="O8" s="38">
        <f t="shared" si="2"/>
        <v>110</v>
      </c>
      <c r="P8" s="38">
        <f t="shared" si="2"/>
        <v>167</v>
      </c>
      <c r="Q8" s="38">
        <f t="shared" si="2"/>
        <v>113</v>
      </c>
      <c r="R8" s="38">
        <f t="shared" si="2"/>
        <v>97</v>
      </c>
      <c r="S8" s="38">
        <f t="shared" si="2"/>
        <v>122</v>
      </c>
      <c r="T8" s="426">
        <f t="shared" si="2"/>
        <v>109</v>
      </c>
      <c r="U8" s="38">
        <f t="shared" si="2"/>
        <v>0</v>
      </c>
      <c r="V8" s="38">
        <f t="shared" si="2"/>
        <v>0</v>
      </c>
      <c r="W8" s="38">
        <f t="shared" si="2"/>
        <v>0</v>
      </c>
      <c r="X8" s="38">
        <f t="shared" si="2"/>
        <v>0</v>
      </c>
      <c r="Y8" s="38">
        <f t="shared" si="2"/>
        <v>0</v>
      </c>
      <c r="Z8" s="38">
        <f t="shared" si="2"/>
        <v>0</v>
      </c>
      <c r="AA8" s="38">
        <f t="shared" si="2"/>
        <v>0</v>
      </c>
      <c r="AB8" s="46"/>
      <c r="AC8" s="46"/>
      <c r="AD8" s="46"/>
      <c r="AE8" s="46"/>
      <c r="AF8" s="46"/>
      <c r="AG8" s="46"/>
      <c r="AH8" s="46"/>
      <c r="AI8" s="46"/>
      <c r="AJ8" s="46"/>
      <c r="AK8" s="46"/>
      <c r="AL8" s="46"/>
      <c r="AM8" s="46"/>
      <c r="AN8" s="46"/>
    </row>
    <row r="9">
      <c r="A9" s="37" t="s">
        <v>23</v>
      </c>
      <c r="B9" s="38">
        <v>0.0</v>
      </c>
      <c r="C9" s="38">
        <v>3.0</v>
      </c>
      <c r="D9" s="38">
        <v>6.0</v>
      </c>
      <c r="E9" s="38">
        <v>6.0</v>
      </c>
      <c r="F9" s="38">
        <v>15.0</v>
      </c>
      <c r="G9" s="38">
        <v>6.0</v>
      </c>
      <c r="H9" s="38">
        <v>10.0</v>
      </c>
      <c r="I9" s="38">
        <v>30.0</v>
      </c>
      <c r="J9" s="38">
        <v>35.0</v>
      </c>
      <c r="K9" s="38">
        <v>46.0</v>
      </c>
      <c r="L9" s="38">
        <v>19.0</v>
      </c>
      <c r="M9" s="38">
        <v>15.0</v>
      </c>
      <c r="N9" s="38">
        <v>31.0</v>
      </c>
      <c r="O9" s="38">
        <v>16.0</v>
      </c>
      <c r="P9" s="38">
        <v>31.0</v>
      </c>
      <c r="Q9" s="38">
        <v>14.0</v>
      </c>
      <c r="R9" s="38">
        <v>13.0</v>
      </c>
      <c r="S9" s="38">
        <v>14.0</v>
      </c>
      <c r="T9" s="426">
        <v>10.0</v>
      </c>
      <c r="U9" s="38" t="s">
        <v>663</v>
      </c>
      <c r="V9" s="38" t="s">
        <v>663</v>
      </c>
      <c r="W9" s="38" t="s">
        <v>663</v>
      </c>
      <c r="X9" s="38" t="s">
        <v>663</v>
      </c>
      <c r="Y9" s="38" t="s">
        <v>663</v>
      </c>
      <c r="Z9" s="38" t="s">
        <v>663</v>
      </c>
      <c r="AA9" s="38" t="s">
        <v>663</v>
      </c>
      <c r="AB9" s="46"/>
      <c r="AC9" s="46"/>
      <c r="AD9" s="46"/>
      <c r="AE9" s="46"/>
      <c r="AF9" s="46"/>
      <c r="AG9" s="46"/>
      <c r="AH9" s="46"/>
      <c r="AI9" s="46"/>
      <c r="AJ9" s="46"/>
      <c r="AK9" s="46"/>
      <c r="AL9" s="46"/>
      <c r="AM9" s="46"/>
      <c r="AN9" s="46"/>
    </row>
    <row r="10">
      <c r="A10" s="42" t="s">
        <v>24</v>
      </c>
      <c r="B10" s="43">
        <f t="shared" ref="B10:AA10" si="3">IFERROR(B9/B7, 0)</f>
        <v>0</v>
      </c>
      <c r="C10" s="43">
        <f t="shared" si="3"/>
        <v>0.02325581395</v>
      </c>
      <c r="D10" s="43">
        <f t="shared" si="3"/>
        <v>0.04316546763</v>
      </c>
      <c r="E10" s="43">
        <f t="shared" si="3"/>
        <v>0.04225352113</v>
      </c>
      <c r="F10" s="43">
        <f t="shared" si="3"/>
        <v>0.08720930233</v>
      </c>
      <c r="G10" s="43">
        <f t="shared" si="3"/>
        <v>0.03448275862</v>
      </c>
      <c r="H10" s="43">
        <f t="shared" si="3"/>
        <v>0.08064516129</v>
      </c>
      <c r="I10" s="43">
        <f t="shared" si="3"/>
        <v>0.1315789474</v>
      </c>
      <c r="J10" s="43">
        <f t="shared" si="3"/>
        <v>0.162037037</v>
      </c>
      <c r="K10" s="43">
        <f t="shared" si="3"/>
        <v>0.2211538462</v>
      </c>
      <c r="L10" s="43">
        <f t="shared" si="3"/>
        <v>0.08962264151</v>
      </c>
      <c r="M10" s="43">
        <f t="shared" si="3"/>
        <v>0.07978723404</v>
      </c>
      <c r="N10" s="43">
        <f t="shared" si="3"/>
        <v>0.1519607843</v>
      </c>
      <c r="O10" s="43">
        <f t="shared" si="3"/>
        <v>0.126984127</v>
      </c>
      <c r="P10" s="43">
        <f t="shared" si="3"/>
        <v>0.1565656566</v>
      </c>
      <c r="Q10" s="43">
        <f t="shared" si="3"/>
        <v>0.1102362205</v>
      </c>
      <c r="R10" s="43">
        <f t="shared" si="3"/>
        <v>0.1181818182</v>
      </c>
      <c r="S10" s="43">
        <f t="shared" si="3"/>
        <v>0.1029411765</v>
      </c>
      <c r="T10" s="427">
        <f t="shared" si="3"/>
        <v>0.08403361345</v>
      </c>
      <c r="U10" s="43">
        <f t="shared" si="3"/>
        <v>0</v>
      </c>
      <c r="V10" s="43">
        <f t="shared" si="3"/>
        <v>0</v>
      </c>
      <c r="W10" s="43">
        <f t="shared" si="3"/>
        <v>0</v>
      </c>
      <c r="X10" s="43">
        <f t="shared" si="3"/>
        <v>0</v>
      </c>
      <c r="Y10" s="43">
        <f t="shared" si="3"/>
        <v>0</v>
      </c>
      <c r="Z10" s="43">
        <f t="shared" si="3"/>
        <v>0</v>
      </c>
      <c r="AA10" s="43">
        <f t="shared" si="3"/>
        <v>0</v>
      </c>
      <c r="AB10" s="428"/>
      <c r="AC10" s="428"/>
      <c r="AD10" s="428"/>
      <c r="AE10" s="428"/>
      <c r="AF10" s="428"/>
      <c r="AG10" s="428"/>
      <c r="AH10" s="428"/>
      <c r="AI10" s="428"/>
      <c r="AJ10" s="428"/>
      <c r="AK10" s="428"/>
      <c r="AL10" s="428"/>
      <c r="AM10" s="428"/>
      <c r="AN10" s="428"/>
    </row>
    <row r="11">
      <c r="A11" s="40"/>
      <c r="B11" s="46"/>
      <c r="C11" s="40"/>
      <c r="D11" s="40"/>
      <c r="E11" s="40"/>
      <c r="F11" s="40"/>
      <c r="G11" s="40"/>
      <c r="H11" s="40"/>
      <c r="I11" s="40"/>
      <c r="J11" s="40"/>
      <c r="K11" s="40"/>
      <c r="L11" s="40"/>
      <c r="M11" s="40"/>
      <c r="N11" s="40"/>
      <c r="O11" s="40"/>
      <c r="P11" s="40"/>
      <c r="Q11" s="40"/>
      <c r="R11" s="40"/>
      <c r="S11" s="40"/>
      <c r="T11" s="429"/>
      <c r="U11" s="40"/>
      <c r="V11" s="40"/>
      <c r="W11" s="40"/>
      <c r="X11" s="40"/>
      <c r="Y11" s="40"/>
      <c r="Z11" s="40"/>
      <c r="AA11" s="40"/>
      <c r="AB11" s="40"/>
      <c r="AC11" s="40"/>
      <c r="AD11" s="40"/>
      <c r="AE11" s="40"/>
      <c r="AF11" s="40"/>
      <c r="AG11" s="40"/>
      <c r="AH11" s="40"/>
      <c r="AI11" s="40"/>
      <c r="AJ11" s="40"/>
      <c r="AK11" s="40"/>
      <c r="AL11" s="40"/>
      <c r="AM11" s="40"/>
      <c r="AN11" s="40"/>
    </row>
    <row r="12">
      <c r="A12" s="48" t="s">
        <v>25</v>
      </c>
      <c r="B12" s="38">
        <v>7.0</v>
      </c>
      <c r="C12" s="38">
        <v>45.0</v>
      </c>
      <c r="D12" s="38">
        <v>39.0</v>
      </c>
      <c r="E12" s="38">
        <v>32.0</v>
      </c>
      <c r="F12" s="38">
        <v>44.0</v>
      </c>
      <c r="G12" s="38">
        <v>19.0</v>
      </c>
      <c r="H12" s="38">
        <v>18.0</v>
      </c>
      <c r="I12" s="38">
        <v>22.0</v>
      </c>
      <c r="J12" s="38">
        <v>32.0</v>
      </c>
      <c r="K12" s="38">
        <v>24.0</v>
      </c>
      <c r="L12" s="38">
        <v>26.0</v>
      </c>
      <c r="M12" s="38">
        <v>25.0</v>
      </c>
      <c r="N12" s="38">
        <v>74.0</v>
      </c>
      <c r="O12" s="38">
        <v>18.0</v>
      </c>
      <c r="P12" s="38">
        <v>7.0</v>
      </c>
      <c r="Q12" s="38">
        <v>34.0</v>
      </c>
      <c r="R12" s="38">
        <v>28.0</v>
      </c>
      <c r="S12" s="38">
        <v>28.0</v>
      </c>
      <c r="T12" s="426">
        <v>25.0</v>
      </c>
      <c r="U12" s="38" t="s">
        <v>663</v>
      </c>
      <c r="V12" s="38" t="s">
        <v>663</v>
      </c>
      <c r="W12" s="38" t="s">
        <v>663</v>
      </c>
      <c r="X12" s="38" t="s">
        <v>663</v>
      </c>
      <c r="Y12" s="38" t="s">
        <v>663</v>
      </c>
      <c r="Z12" s="38" t="s">
        <v>663</v>
      </c>
      <c r="AA12" s="38" t="s">
        <v>663</v>
      </c>
      <c r="AB12" s="46"/>
      <c r="AC12" s="46"/>
      <c r="AD12" s="46"/>
      <c r="AE12" s="46"/>
      <c r="AF12" s="46"/>
      <c r="AG12" s="46"/>
      <c r="AH12" s="46"/>
      <c r="AI12" s="46"/>
      <c r="AJ12" s="46"/>
      <c r="AK12" s="46"/>
      <c r="AL12" s="46"/>
      <c r="AM12" s="46"/>
      <c r="AN12" s="46"/>
    </row>
    <row r="13">
      <c r="A13" s="53" t="s">
        <v>26</v>
      </c>
      <c r="B13" s="38">
        <v>12.0</v>
      </c>
      <c r="C13" s="38">
        <v>48.0</v>
      </c>
      <c r="D13" s="38">
        <v>36.0</v>
      </c>
      <c r="E13" s="38">
        <v>27.0</v>
      </c>
      <c r="F13" s="38">
        <v>33.0</v>
      </c>
      <c r="G13" s="38">
        <v>16.0</v>
      </c>
      <c r="H13" s="38">
        <v>18.0</v>
      </c>
      <c r="I13" s="38">
        <v>9.0</v>
      </c>
      <c r="J13" s="38">
        <v>37.0</v>
      </c>
      <c r="K13" s="38">
        <v>37.0</v>
      </c>
      <c r="L13" s="38">
        <v>26.0</v>
      </c>
      <c r="M13" s="38">
        <v>17.0</v>
      </c>
      <c r="N13" s="38">
        <v>79.0</v>
      </c>
      <c r="O13" s="38">
        <v>26.0</v>
      </c>
      <c r="P13" s="38">
        <v>11.0</v>
      </c>
      <c r="Q13" s="38">
        <v>42.0</v>
      </c>
      <c r="R13" s="38">
        <v>30.0</v>
      </c>
      <c r="S13" s="38">
        <v>41.0</v>
      </c>
      <c r="T13" s="426">
        <v>31.0</v>
      </c>
      <c r="U13" s="38" t="s">
        <v>664</v>
      </c>
      <c r="V13" s="38" t="s">
        <v>664</v>
      </c>
      <c r="W13" s="38" t="s">
        <v>664</v>
      </c>
      <c r="X13" s="38" t="s">
        <v>664</v>
      </c>
      <c r="Y13" s="38" t="s">
        <v>664</v>
      </c>
      <c r="Z13" s="38" t="s">
        <v>664</v>
      </c>
      <c r="AA13" s="38" t="s">
        <v>664</v>
      </c>
      <c r="AB13" s="46"/>
      <c r="AC13" s="46"/>
      <c r="AD13" s="46"/>
      <c r="AE13" s="46"/>
      <c r="AF13" s="46"/>
      <c r="AG13" s="46"/>
      <c r="AH13" s="46"/>
      <c r="AI13" s="46"/>
      <c r="AJ13" s="46"/>
      <c r="AK13" s="46"/>
      <c r="AL13" s="46"/>
      <c r="AM13" s="46"/>
      <c r="AN13" s="46"/>
    </row>
    <row r="14">
      <c r="A14" s="58" t="s">
        <v>27</v>
      </c>
      <c r="B14" s="38">
        <v>0.0</v>
      </c>
      <c r="C14" s="38">
        <v>0.0</v>
      </c>
      <c r="D14" s="38">
        <v>3.0</v>
      </c>
      <c r="E14" s="38">
        <v>5.0</v>
      </c>
      <c r="F14" s="38">
        <v>11.0</v>
      </c>
      <c r="G14" s="38">
        <v>3.0</v>
      </c>
      <c r="H14" s="38">
        <v>0.0</v>
      </c>
      <c r="I14" s="38">
        <v>13.0</v>
      </c>
      <c r="J14" s="38">
        <v>8.0</v>
      </c>
      <c r="K14" s="38">
        <v>5.0</v>
      </c>
      <c r="L14" s="38">
        <v>8.0</v>
      </c>
      <c r="M14" s="38">
        <v>8.0</v>
      </c>
      <c r="N14" s="38">
        <v>5.0</v>
      </c>
      <c r="O14" s="38">
        <v>0.0</v>
      </c>
      <c r="P14" s="38">
        <v>0.0</v>
      </c>
      <c r="Q14" s="38">
        <v>0.0</v>
      </c>
      <c r="R14" s="38">
        <v>3.0</v>
      </c>
      <c r="S14" s="38">
        <v>0.0</v>
      </c>
      <c r="T14" s="426">
        <v>0.0</v>
      </c>
      <c r="U14" s="38" t="s">
        <v>663</v>
      </c>
      <c r="V14" s="38" t="s">
        <v>663</v>
      </c>
      <c r="W14" s="38" t="s">
        <v>663</v>
      </c>
      <c r="X14" s="38" t="s">
        <v>663</v>
      </c>
      <c r="Y14" s="38" t="s">
        <v>663</v>
      </c>
      <c r="Z14" s="38" t="s">
        <v>663</v>
      </c>
      <c r="AA14" s="38" t="s">
        <v>663</v>
      </c>
      <c r="AB14" s="46"/>
      <c r="AC14" s="46"/>
      <c r="AD14" s="46"/>
      <c r="AE14" s="46"/>
      <c r="AF14" s="46"/>
      <c r="AG14" s="46"/>
      <c r="AH14" s="46"/>
      <c r="AI14" s="46"/>
      <c r="AJ14" s="46"/>
      <c r="AK14" s="46"/>
      <c r="AL14" s="46"/>
      <c r="AM14" s="46"/>
      <c r="AN14" s="46"/>
    </row>
    <row r="15">
      <c r="A15" s="56"/>
      <c r="B15" s="63"/>
      <c r="C15" s="56"/>
      <c r="D15" s="56"/>
      <c r="E15" s="56"/>
      <c r="F15" s="56"/>
      <c r="G15" s="56"/>
      <c r="H15" s="56"/>
      <c r="I15" s="56"/>
      <c r="J15" s="56"/>
      <c r="K15" s="56"/>
      <c r="L15" s="56"/>
      <c r="M15" s="56"/>
      <c r="N15" s="56"/>
      <c r="O15" s="56"/>
      <c r="P15" s="56"/>
      <c r="Q15" s="56"/>
      <c r="R15" s="56"/>
      <c r="S15" s="56"/>
      <c r="T15" s="430"/>
      <c r="U15" s="56"/>
      <c r="V15" s="56"/>
      <c r="W15" s="56"/>
      <c r="X15" s="56"/>
      <c r="Y15" s="56"/>
      <c r="Z15" s="56"/>
      <c r="AA15" s="56"/>
      <c r="AB15" s="56"/>
      <c r="AC15" s="56"/>
      <c r="AD15" s="56"/>
      <c r="AE15" s="56"/>
      <c r="AF15" s="56"/>
      <c r="AG15" s="56"/>
      <c r="AH15" s="56"/>
      <c r="AI15" s="56"/>
      <c r="AJ15" s="56"/>
      <c r="AK15" s="56"/>
      <c r="AL15" s="56"/>
      <c r="AM15" s="56"/>
      <c r="AN15" s="56"/>
    </row>
    <row r="16">
      <c r="A16" s="65" t="s">
        <v>28</v>
      </c>
      <c r="B16" s="66" t="s">
        <v>59</v>
      </c>
      <c r="C16" s="66" t="s">
        <v>59</v>
      </c>
      <c r="D16" s="66" t="s">
        <v>59</v>
      </c>
      <c r="E16" s="66" t="s">
        <v>59</v>
      </c>
      <c r="F16" s="66" t="s">
        <v>59</v>
      </c>
      <c r="G16" s="66" t="s">
        <v>59</v>
      </c>
      <c r="H16" s="66" t="s">
        <v>59</v>
      </c>
      <c r="I16" s="66" t="s">
        <v>59</v>
      </c>
      <c r="J16" s="66" t="s">
        <v>59</v>
      </c>
      <c r="K16" s="66" t="s">
        <v>59</v>
      </c>
      <c r="L16" s="66" t="s">
        <v>59</v>
      </c>
      <c r="M16" s="66" t="s">
        <v>59</v>
      </c>
      <c r="N16" s="66" t="s">
        <v>59</v>
      </c>
      <c r="O16" s="66" t="s">
        <v>59</v>
      </c>
      <c r="P16" s="66" t="s">
        <v>59</v>
      </c>
      <c r="Q16" s="66" t="s">
        <v>59</v>
      </c>
      <c r="R16" s="66" t="s">
        <v>59</v>
      </c>
      <c r="S16" s="66" t="s">
        <v>59</v>
      </c>
      <c r="T16" s="431" t="s">
        <v>59</v>
      </c>
      <c r="U16" s="432" t="s">
        <v>59</v>
      </c>
      <c r="V16" s="66" t="s">
        <v>59</v>
      </c>
      <c r="W16" s="66" t="s">
        <v>59</v>
      </c>
      <c r="X16" s="66" t="s">
        <v>59</v>
      </c>
      <c r="Y16" s="66" t="s">
        <v>59</v>
      </c>
      <c r="Z16" s="66" t="s">
        <v>59</v>
      </c>
      <c r="AA16" s="66" t="s">
        <v>59</v>
      </c>
      <c r="AB16" s="63"/>
      <c r="AC16" s="63"/>
      <c r="AD16" s="63"/>
      <c r="AE16" s="63"/>
      <c r="AF16" s="63"/>
      <c r="AG16" s="63"/>
      <c r="AH16" s="63"/>
      <c r="AI16" s="63"/>
      <c r="AJ16" s="63"/>
      <c r="AK16" s="63"/>
      <c r="AL16" s="63"/>
      <c r="AM16" s="63"/>
      <c r="AN16" s="63"/>
    </row>
    <row r="17">
      <c r="A17" s="65" t="s">
        <v>29</v>
      </c>
      <c r="B17" s="433" t="s">
        <v>59</v>
      </c>
      <c r="C17" s="433" t="s">
        <v>59</v>
      </c>
      <c r="D17" s="433" t="s">
        <v>59</v>
      </c>
      <c r="E17" s="433" t="s">
        <v>59</v>
      </c>
      <c r="F17" s="433" t="s">
        <v>59</v>
      </c>
      <c r="G17" s="433" t="s">
        <v>59</v>
      </c>
      <c r="H17" s="433" t="s">
        <v>59</v>
      </c>
      <c r="I17" s="433" t="s">
        <v>59</v>
      </c>
      <c r="J17" s="433" t="s">
        <v>59</v>
      </c>
      <c r="K17" s="433" t="s">
        <v>59</v>
      </c>
      <c r="L17" s="433" t="s">
        <v>59</v>
      </c>
      <c r="M17" s="433" t="s">
        <v>59</v>
      </c>
      <c r="N17" s="433" t="s">
        <v>59</v>
      </c>
      <c r="O17" s="433" t="s">
        <v>59</v>
      </c>
      <c r="P17" s="433" t="s">
        <v>59</v>
      </c>
      <c r="Q17" s="433" t="s">
        <v>59</v>
      </c>
      <c r="R17" s="433" t="s">
        <v>59</v>
      </c>
      <c r="S17" s="433" t="s">
        <v>59</v>
      </c>
      <c r="T17" s="434" t="s">
        <v>59</v>
      </c>
      <c r="U17" s="49" t="s">
        <v>59</v>
      </c>
      <c r="V17" s="433" t="s">
        <v>59</v>
      </c>
      <c r="W17" s="433" t="s">
        <v>59</v>
      </c>
      <c r="X17" s="433" t="s">
        <v>59</v>
      </c>
      <c r="Y17" s="433" t="s">
        <v>59</v>
      </c>
      <c r="Z17" s="433" t="s">
        <v>59</v>
      </c>
      <c r="AA17" s="433" t="s">
        <v>59</v>
      </c>
      <c r="AB17" s="63"/>
      <c r="AC17" s="63"/>
      <c r="AD17" s="63"/>
      <c r="AE17" s="63"/>
      <c r="AF17" s="63"/>
      <c r="AG17" s="63"/>
      <c r="AH17" s="63"/>
      <c r="AI17" s="63"/>
      <c r="AJ17" s="63"/>
      <c r="AK17" s="63"/>
      <c r="AL17" s="63"/>
      <c r="AM17" s="63"/>
      <c r="AN17" s="63"/>
    </row>
    <row r="18">
      <c r="A18" s="69" t="s">
        <v>30</v>
      </c>
      <c r="B18" s="435">
        <v>54.0</v>
      </c>
      <c r="C18" s="436">
        <v>109.0</v>
      </c>
      <c r="D18" s="436">
        <v>117.0</v>
      </c>
      <c r="E18" s="436">
        <v>66.0</v>
      </c>
      <c r="F18" s="436">
        <v>81.0</v>
      </c>
      <c r="G18" s="436">
        <v>33.0</v>
      </c>
      <c r="H18" s="436">
        <v>43.0</v>
      </c>
      <c r="I18" s="436">
        <v>80.0</v>
      </c>
      <c r="J18" s="436">
        <v>96.0</v>
      </c>
      <c r="K18" s="436">
        <v>162.0</v>
      </c>
      <c r="L18" s="436">
        <v>150.0</v>
      </c>
      <c r="M18" s="436">
        <v>105.0</v>
      </c>
      <c r="N18" s="436">
        <v>130.0</v>
      </c>
      <c r="O18" s="436">
        <v>48.0</v>
      </c>
      <c r="P18" s="436">
        <v>80.0</v>
      </c>
      <c r="Q18" s="436">
        <v>107.0</v>
      </c>
      <c r="R18" s="436">
        <v>81.0</v>
      </c>
      <c r="S18" s="436">
        <v>89.0</v>
      </c>
      <c r="T18" s="425">
        <v>81.0</v>
      </c>
      <c r="U18" s="436" t="s">
        <v>663</v>
      </c>
      <c r="V18" s="436" t="s">
        <v>663</v>
      </c>
      <c r="W18" s="436" t="s">
        <v>663</v>
      </c>
      <c r="X18" s="436" t="s">
        <v>663</v>
      </c>
      <c r="Y18" s="436" t="s">
        <v>663</v>
      </c>
      <c r="Z18" s="436" t="s">
        <v>663</v>
      </c>
      <c r="AA18" s="436" t="s">
        <v>663</v>
      </c>
      <c r="AB18" s="46"/>
      <c r="AC18" s="46"/>
      <c r="AD18" s="46"/>
      <c r="AE18" s="46"/>
      <c r="AF18" s="46"/>
      <c r="AG18" s="46"/>
      <c r="AH18" s="46"/>
      <c r="AI18" s="46"/>
      <c r="AJ18" s="46"/>
      <c r="AK18" s="46"/>
      <c r="AL18" s="46"/>
      <c r="AM18" s="46"/>
      <c r="AN18" s="46"/>
    </row>
    <row r="19">
      <c r="A19" s="74" t="s">
        <v>31</v>
      </c>
      <c r="B19" s="75">
        <f t="shared" ref="B19:AA19" si="4">B51</f>
        <v>89</v>
      </c>
      <c r="C19" s="75">
        <f t="shared" si="4"/>
        <v>113</v>
      </c>
      <c r="D19" s="75">
        <f t="shared" si="4"/>
        <v>140</v>
      </c>
      <c r="E19" s="75">
        <f t="shared" si="4"/>
        <v>143</v>
      </c>
      <c r="F19" s="75">
        <f t="shared" si="4"/>
        <v>159</v>
      </c>
      <c r="G19" s="75">
        <f t="shared" si="4"/>
        <v>154</v>
      </c>
      <c r="H19" s="75">
        <f t="shared" si="4"/>
        <v>114</v>
      </c>
      <c r="I19" s="75">
        <f t="shared" si="4"/>
        <v>157</v>
      </c>
      <c r="J19" s="75">
        <f t="shared" si="4"/>
        <v>120</v>
      </c>
      <c r="K19" s="75">
        <f t="shared" si="4"/>
        <v>163</v>
      </c>
      <c r="L19" s="75">
        <f t="shared" si="4"/>
        <v>175</v>
      </c>
      <c r="M19" s="75">
        <f t="shared" si="4"/>
        <v>150</v>
      </c>
      <c r="N19" s="75">
        <f t="shared" si="4"/>
        <v>154</v>
      </c>
      <c r="O19" s="75">
        <f t="shared" si="4"/>
        <v>67</v>
      </c>
      <c r="P19" s="75">
        <f t="shared" si="4"/>
        <v>141</v>
      </c>
      <c r="Q19" s="75">
        <f t="shared" si="4"/>
        <v>117</v>
      </c>
      <c r="R19" s="75">
        <f t="shared" si="4"/>
        <v>97</v>
      </c>
      <c r="S19" s="75">
        <f t="shared" si="4"/>
        <v>102</v>
      </c>
      <c r="T19" s="437">
        <f t="shared" si="4"/>
        <v>81</v>
      </c>
      <c r="U19" s="75">
        <f t="shared" si="4"/>
        <v>0</v>
      </c>
      <c r="V19" s="75">
        <f t="shared" si="4"/>
        <v>0</v>
      </c>
      <c r="W19" s="75">
        <f t="shared" si="4"/>
        <v>0</v>
      </c>
      <c r="X19" s="75">
        <f t="shared" si="4"/>
        <v>0</v>
      </c>
      <c r="Y19" s="75">
        <f t="shared" si="4"/>
        <v>0</v>
      </c>
      <c r="Z19" s="75">
        <f t="shared" si="4"/>
        <v>0</v>
      </c>
      <c r="AA19" s="75">
        <f t="shared" si="4"/>
        <v>0</v>
      </c>
      <c r="AB19" s="75"/>
      <c r="AC19" s="75"/>
      <c r="AD19" s="75"/>
      <c r="AE19" s="75"/>
      <c r="AF19" s="75"/>
      <c r="AG19" s="75"/>
      <c r="AH19" s="75"/>
      <c r="AI19" s="75"/>
      <c r="AJ19" s="75"/>
      <c r="AK19" s="75"/>
      <c r="AL19" s="75"/>
      <c r="AM19" s="75"/>
      <c r="AN19" s="75"/>
    </row>
    <row r="20">
      <c r="A20" s="69" t="s">
        <v>32</v>
      </c>
      <c r="B20" s="70">
        <v>46.0</v>
      </c>
      <c r="C20" s="46">
        <v>104.0</v>
      </c>
      <c r="D20" s="46">
        <v>117.0</v>
      </c>
      <c r="E20" s="46">
        <v>63.0</v>
      </c>
      <c r="F20" s="46">
        <v>81.0</v>
      </c>
      <c r="G20" s="46">
        <v>33.0</v>
      </c>
      <c r="H20" s="46">
        <v>43.0</v>
      </c>
      <c r="I20" s="46">
        <v>64.0</v>
      </c>
      <c r="J20" s="46">
        <v>75.0</v>
      </c>
      <c r="K20" s="46">
        <v>162.0</v>
      </c>
      <c r="L20" s="46">
        <v>150.0</v>
      </c>
      <c r="M20" s="46">
        <v>92.0</v>
      </c>
      <c r="N20" s="46">
        <v>125.0</v>
      </c>
      <c r="O20" s="46">
        <v>34.0</v>
      </c>
      <c r="P20" s="46">
        <v>70.0</v>
      </c>
      <c r="Q20" s="46">
        <v>103.0</v>
      </c>
      <c r="R20" s="46">
        <v>70.0</v>
      </c>
      <c r="S20" s="46">
        <v>84.0</v>
      </c>
      <c r="T20" s="426">
        <v>78.0</v>
      </c>
      <c r="U20" s="46" t="s">
        <v>663</v>
      </c>
      <c r="V20" s="46" t="s">
        <v>663</v>
      </c>
      <c r="W20" s="46" t="s">
        <v>663</v>
      </c>
      <c r="X20" s="46" t="s">
        <v>663</v>
      </c>
      <c r="Y20" s="46" t="s">
        <v>663</v>
      </c>
      <c r="Z20" s="46" t="s">
        <v>663</v>
      </c>
      <c r="AA20" s="46" t="s">
        <v>663</v>
      </c>
      <c r="AB20" s="46"/>
      <c r="AC20" s="46"/>
      <c r="AD20" s="46"/>
      <c r="AE20" s="46"/>
      <c r="AF20" s="46"/>
      <c r="AG20" s="46"/>
      <c r="AH20" s="46"/>
      <c r="AI20" s="46"/>
      <c r="AJ20" s="46"/>
      <c r="AK20" s="46"/>
      <c r="AL20" s="46"/>
      <c r="AM20" s="46"/>
      <c r="AN20" s="46"/>
    </row>
    <row r="21">
      <c r="A21" s="79" t="s">
        <v>33</v>
      </c>
      <c r="B21" s="80">
        <f t="shared" ref="B21:AA21" si="5">B36-B51</f>
        <v>21</v>
      </c>
      <c r="C21" s="80">
        <f t="shared" si="5"/>
        <v>13</v>
      </c>
      <c r="D21" s="80">
        <f t="shared" si="5"/>
        <v>-7</v>
      </c>
      <c r="E21" s="80">
        <f t="shared" si="5"/>
        <v>-7</v>
      </c>
      <c r="F21" s="80">
        <f t="shared" si="5"/>
        <v>-2</v>
      </c>
      <c r="G21" s="80">
        <f t="shared" si="5"/>
        <v>14</v>
      </c>
      <c r="H21" s="80">
        <f t="shared" si="5"/>
        <v>0</v>
      </c>
      <c r="I21" s="80">
        <f t="shared" si="5"/>
        <v>41</v>
      </c>
      <c r="J21" s="80">
        <f t="shared" si="5"/>
        <v>61</v>
      </c>
      <c r="K21" s="80">
        <f t="shared" si="5"/>
        <v>-1</v>
      </c>
      <c r="L21" s="80">
        <f t="shared" si="5"/>
        <v>18</v>
      </c>
      <c r="M21" s="80">
        <f t="shared" si="5"/>
        <v>23</v>
      </c>
      <c r="N21" s="80">
        <f t="shared" si="5"/>
        <v>19</v>
      </c>
      <c r="O21" s="80">
        <f t="shared" si="5"/>
        <v>43</v>
      </c>
      <c r="P21" s="80">
        <f t="shared" si="5"/>
        <v>26</v>
      </c>
      <c r="Q21" s="80">
        <f t="shared" si="5"/>
        <v>-4</v>
      </c>
      <c r="R21" s="80">
        <f t="shared" si="5"/>
        <v>0</v>
      </c>
      <c r="S21" s="80">
        <f t="shared" si="5"/>
        <v>20</v>
      </c>
      <c r="T21" s="438">
        <f t="shared" si="5"/>
        <v>28</v>
      </c>
      <c r="U21" s="80">
        <f t="shared" si="5"/>
        <v>0</v>
      </c>
      <c r="V21" s="80">
        <f t="shared" si="5"/>
        <v>0</v>
      </c>
      <c r="W21" s="80">
        <f t="shared" si="5"/>
        <v>0</v>
      </c>
      <c r="X21" s="80">
        <f t="shared" si="5"/>
        <v>0</v>
      </c>
      <c r="Y21" s="80">
        <f t="shared" si="5"/>
        <v>0</v>
      </c>
      <c r="Z21" s="80">
        <f t="shared" si="5"/>
        <v>0</v>
      </c>
      <c r="AA21" s="80">
        <f t="shared" si="5"/>
        <v>0</v>
      </c>
      <c r="AB21" s="80"/>
      <c r="AC21" s="80"/>
      <c r="AD21" s="80"/>
      <c r="AE21" s="80"/>
      <c r="AF21" s="80"/>
      <c r="AG21" s="80"/>
      <c r="AH21" s="80"/>
      <c r="AI21" s="80"/>
      <c r="AJ21" s="80"/>
      <c r="AK21" s="80"/>
      <c r="AL21" s="80"/>
      <c r="AM21" s="80"/>
      <c r="AN21" s="80"/>
    </row>
    <row r="22">
      <c r="A22" s="82" t="s">
        <v>34</v>
      </c>
      <c r="B22" s="83">
        <v>75.0</v>
      </c>
      <c r="C22" s="83">
        <v>87.0</v>
      </c>
      <c r="D22" s="83">
        <v>131.0</v>
      </c>
      <c r="E22" s="83">
        <v>68.0</v>
      </c>
      <c r="F22" s="83">
        <v>75.0</v>
      </c>
      <c r="G22" s="83">
        <v>36.0</v>
      </c>
      <c r="H22" s="83">
        <v>46.0</v>
      </c>
      <c r="I22" s="83">
        <v>112.0</v>
      </c>
      <c r="J22" s="83">
        <v>147.0</v>
      </c>
      <c r="K22" s="83">
        <v>143.0</v>
      </c>
      <c r="L22" s="83">
        <v>139.0</v>
      </c>
      <c r="M22" s="83">
        <v>139.0</v>
      </c>
      <c r="N22" s="83">
        <v>168.0</v>
      </c>
      <c r="O22" s="83">
        <v>101.0</v>
      </c>
      <c r="P22" s="83">
        <v>141.0</v>
      </c>
      <c r="Q22" s="83">
        <v>110.0</v>
      </c>
      <c r="R22" s="83">
        <v>82.0</v>
      </c>
      <c r="S22" s="83">
        <v>112.0</v>
      </c>
      <c r="T22" s="439">
        <v>137.0</v>
      </c>
      <c r="U22" s="83" t="s">
        <v>664</v>
      </c>
      <c r="V22" s="83" t="s">
        <v>664</v>
      </c>
      <c r="W22" s="83" t="s">
        <v>664</v>
      </c>
      <c r="X22" s="83" t="s">
        <v>664</v>
      </c>
      <c r="Y22" s="83" t="s">
        <v>664</v>
      </c>
      <c r="Z22" s="83" t="s">
        <v>664</v>
      </c>
      <c r="AA22" s="83" t="s">
        <v>664</v>
      </c>
      <c r="AB22" s="83"/>
      <c r="AC22" s="83"/>
      <c r="AD22" s="83"/>
      <c r="AE22" s="83"/>
      <c r="AF22" s="83"/>
      <c r="AG22" s="83"/>
      <c r="AH22" s="83"/>
      <c r="AI22" s="83"/>
      <c r="AJ22" s="83"/>
      <c r="AK22" s="83"/>
      <c r="AL22" s="83"/>
      <c r="AM22" s="83"/>
      <c r="AN22" s="83"/>
    </row>
    <row r="23">
      <c r="A23" s="90" t="s">
        <v>35</v>
      </c>
      <c r="B23" s="91" t="s">
        <v>665</v>
      </c>
      <c r="C23" s="91" t="s">
        <v>666</v>
      </c>
      <c r="D23" s="91" t="s">
        <v>667</v>
      </c>
      <c r="E23" s="91" t="s">
        <v>668</v>
      </c>
      <c r="F23" s="91" t="s">
        <v>669</v>
      </c>
      <c r="G23" s="91" t="s">
        <v>670</v>
      </c>
      <c r="H23" s="91" t="s">
        <v>671</v>
      </c>
      <c r="I23" s="91" t="s">
        <v>672</v>
      </c>
      <c r="J23" s="91" t="s">
        <v>673</v>
      </c>
      <c r="K23" s="91" t="s">
        <v>674</v>
      </c>
      <c r="L23" s="91" t="s">
        <v>675</v>
      </c>
      <c r="M23" s="91" t="s">
        <v>676</v>
      </c>
      <c r="N23" s="91" t="s">
        <v>677</v>
      </c>
      <c r="O23" s="91" t="s">
        <v>678</v>
      </c>
      <c r="P23" s="91" t="s">
        <v>679</v>
      </c>
      <c r="Q23" s="91" t="s">
        <v>680</v>
      </c>
      <c r="R23" s="440" t="s">
        <v>681</v>
      </c>
      <c r="S23" s="441" t="s">
        <v>682</v>
      </c>
      <c r="T23" s="442" t="s">
        <v>683</v>
      </c>
      <c r="U23" s="441"/>
      <c r="V23" s="441"/>
      <c r="W23" s="441"/>
      <c r="X23" s="441"/>
      <c r="Y23" s="441"/>
      <c r="Z23" s="441"/>
      <c r="AA23" s="441"/>
      <c r="AB23" s="443"/>
      <c r="AC23" s="443"/>
      <c r="AD23" s="443"/>
      <c r="AE23" s="443"/>
      <c r="AF23" s="443"/>
      <c r="AG23" s="443"/>
      <c r="AH23" s="443"/>
      <c r="AI23" s="443"/>
      <c r="AJ23" s="443"/>
      <c r="AK23" s="443"/>
      <c r="AL23" s="443"/>
      <c r="AM23" s="443"/>
      <c r="AN23" s="443"/>
    </row>
    <row r="24">
      <c r="A24" s="96" t="s">
        <v>36</v>
      </c>
      <c r="B24" s="97">
        <v>1.0</v>
      </c>
      <c r="C24" s="97">
        <v>1.0</v>
      </c>
      <c r="D24" s="97">
        <v>1.0</v>
      </c>
      <c r="E24" s="97">
        <v>1.0</v>
      </c>
      <c r="F24" s="97">
        <v>1.0</v>
      </c>
      <c r="G24" s="97">
        <v>1.0</v>
      </c>
      <c r="H24" s="98">
        <v>0.0</v>
      </c>
      <c r="I24" s="98">
        <v>0.0</v>
      </c>
      <c r="J24" s="98">
        <v>0.0</v>
      </c>
      <c r="K24" s="97">
        <v>1.0</v>
      </c>
      <c r="L24" s="97">
        <v>1.0</v>
      </c>
      <c r="M24" s="97">
        <v>0.0</v>
      </c>
      <c r="N24" s="97">
        <v>1.0</v>
      </c>
      <c r="O24" s="98">
        <v>0.0</v>
      </c>
      <c r="P24" s="98">
        <v>0.0</v>
      </c>
      <c r="Q24" s="97">
        <v>1.0</v>
      </c>
      <c r="R24" s="97">
        <v>1.0</v>
      </c>
      <c r="S24" s="97">
        <v>1.0</v>
      </c>
      <c r="T24" s="444">
        <v>1.0</v>
      </c>
      <c r="U24" s="98">
        <v>0.0</v>
      </c>
      <c r="V24" s="98">
        <v>0.0</v>
      </c>
      <c r="W24" s="98">
        <v>0.0</v>
      </c>
      <c r="X24" s="98">
        <v>0.0</v>
      </c>
      <c r="Y24" s="98">
        <v>0.0</v>
      </c>
      <c r="Z24" s="98">
        <v>0.0</v>
      </c>
      <c r="AA24" s="98">
        <v>0.0</v>
      </c>
      <c r="AB24" s="98"/>
      <c r="AC24" s="98"/>
      <c r="AD24" s="98"/>
      <c r="AE24" s="98"/>
      <c r="AF24" s="98"/>
      <c r="AG24" s="98"/>
      <c r="AH24" s="98"/>
      <c r="AI24" s="98"/>
      <c r="AJ24" s="98"/>
      <c r="AK24" s="98"/>
      <c r="AL24" s="98"/>
      <c r="AM24" s="98"/>
      <c r="AN24" s="98"/>
    </row>
    <row r="25">
      <c r="A25" s="101" t="s">
        <v>37</v>
      </c>
      <c r="B25" s="102">
        <f t="shared" ref="B25:AA25" si="6">IFERROR(B19/B8, 0)</f>
        <v>0.8090909091</v>
      </c>
      <c r="C25" s="102">
        <f t="shared" si="6"/>
        <v>0.8968253968</v>
      </c>
      <c r="D25" s="102">
        <f t="shared" si="6"/>
        <v>1.052631579</v>
      </c>
      <c r="E25" s="102">
        <f t="shared" si="6"/>
        <v>1.051470588</v>
      </c>
      <c r="F25" s="102">
        <f t="shared" si="6"/>
        <v>1.012738854</v>
      </c>
      <c r="G25" s="102">
        <f t="shared" si="6"/>
        <v>0.9166666667</v>
      </c>
      <c r="H25" s="102">
        <f t="shared" si="6"/>
        <v>1</v>
      </c>
      <c r="I25" s="102">
        <f t="shared" si="6"/>
        <v>0.7929292929</v>
      </c>
      <c r="J25" s="102">
        <f t="shared" si="6"/>
        <v>0.6629834254</v>
      </c>
      <c r="K25" s="102">
        <f t="shared" si="6"/>
        <v>1.00617284</v>
      </c>
      <c r="L25" s="102">
        <f t="shared" si="6"/>
        <v>0.9067357513</v>
      </c>
      <c r="M25" s="102">
        <f t="shared" si="6"/>
        <v>0.8670520231</v>
      </c>
      <c r="N25" s="102">
        <f t="shared" si="6"/>
        <v>0.8901734104</v>
      </c>
      <c r="O25" s="102">
        <f t="shared" si="6"/>
        <v>0.6090909091</v>
      </c>
      <c r="P25" s="102">
        <f t="shared" si="6"/>
        <v>0.8443113772</v>
      </c>
      <c r="Q25" s="102">
        <f t="shared" si="6"/>
        <v>1.03539823</v>
      </c>
      <c r="R25" s="102">
        <f t="shared" si="6"/>
        <v>1</v>
      </c>
      <c r="S25" s="102">
        <f t="shared" si="6"/>
        <v>0.8360655738</v>
      </c>
      <c r="T25" s="445">
        <f t="shared" si="6"/>
        <v>0.7431192661</v>
      </c>
      <c r="U25" s="102">
        <f t="shared" si="6"/>
        <v>0</v>
      </c>
      <c r="V25" s="102">
        <f t="shared" si="6"/>
        <v>0</v>
      </c>
      <c r="W25" s="102">
        <f t="shared" si="6"/>
        <v>0</v>
      </c>
      <c r="X25" s="102">
        <f t="shared" si="6"/>
        <v>0</v>
      </c>
      <c r="Y25" s="102">
        <f t="shared" si="6"/>
        <v>0</v>
      </c>
      <c r="Z25" s="102">
        <f t="shared" si="6"/>
        <v>0</v>
      </c>
      <c r="AA25" s="102">
        <f t="shared" si="6"/>
        <v>0</v>
      </c>
      <c r="AB25" s="102"/>
      <c r="AC25" s="102"/>
      <c r="AD25" s="102"/>
      <c r="AE25" s="102"/>
      <c r="AF25" s="102"/>
      <c r="AG25" s="102"/>
      <c r="AH25" s="102"/>
      <c r="AI25" s="102"/>
      <c r="AJ25" s="102"/>
      <c r="AK25" s="102"/>
      <c r="AL25" s="102"/>
      <c r="AM25" s="102"/>
      <c r="AN25" s="102"/>
    </row>
    <row r="26">
      <c r="A26" s="105" t="s">
        <v>38</v>
      </c>
      <c r="B26" s="106">
        <f t="shared" ref="B26:AA26" si="7">IFERROR(B12/B18, 0)</f>
        <v>0.1296296296</v>
      </c>
      <c r="C26" s="106">
        <f t="shared" si="7"/>
        <v>0.4128440367</v>
      </c>
      <c r="D26" s="106">
        <f t="shared" si="7"/>
        <v>0.3333333333</v>
      </c>
      <c r="E26" s="106">
        <f t="shared" si="7"/>
        <v>0.4848484848</v>
      </c>
      <c r="F26" s="106">
        <f t="shared" si="7"/>
        <v>0.5432098765</v>
      </c>
      <c r="G26" s="106">
        <f t="shared" si="7"/>
        <v>0.5757575758</v>
      </c>
      <c r="H26" s="106">
        <f t="shared" si="7"/>
        <v>0.4186046512</v>
      </c>
      <c r="I26" s="106">
        <f t="shared" si="7"/>
        <v>0.275</v>
      </c>
      <c r="J26" s="106">
        <f t="shared" si="7"/>
        <v>0.3333333333</v>
      </c>
      <c r="K26" s="106">
        <f t="shared" si="7"/>
        <v>0.1481481481</v>
      </c>
      <c r="L26" s="106">
        <f t="shared" si="7"/>
        <v>0.1733333333</v>
      </c>
      <c r="M26" s="106">
        <f t="shared" si="7"/>
        <v>0.2380952381</v>
      </c>
      <c r="N26" s="106">
        <f t="shared" si="7"/>
        <v>0.5692307692</v>
      </c>
      <c r="O26" s="106">
        <f t="shared" si="7"/>
        <v>0.375</v>
      </c>
      <c r="P26" s="106">
        <f t="shared" si="7"/>
        <v>0.0875</v>
      </c>
      <c r="Q26" s="106">
        <f t="shared" si="7"/>
        <v>0.3177570093</v>
      </c>
      <c r="R26" s="106">
        <f t="shared" si="7"/>
        <v>0.3456790123</v>
      </c>
      <c r="S26" s="106">
        <f t="shared" si="7"/>
        <v>0.3146067416</v>
      </c>
      <c r="T26" s="446">
        <f t="shared" si="7"/>
        <v>0.3086419753</v>
      </c>
      <c r="U26" s="106">
        <f t="shared" si="7"/>
        <v>0</v>
      </c>
      <c r="V26" s="106">
        <f t="shared" si="7"/>
        <v>0</v>
      </c>
      <c r="W26" s="106">
        <f t="shared" si="7"/>
        <v>0</v>
      </c>
      <c r="X26" s="106">
        <f t="shared" si="7"/>
        <v>0</v>
      </c>
      <c r="Y26" s="106">
        <f t="shared" si="7"/>
        <v>0</v>
      </c>
      <c r="Z26" s="106">
        <f t="shared" si="7"/>
        <v>0</v>
      </c>
      <c r="AA26" s="106">
        <f t="shared" si="7"/>
        <v>0</v>
      </c>
      <c r="AB26" s="106"/>
      <c r="AC26" s="106"/>
      <c r="AD26" s="106"/>
      <c r="AE26" s="106"/>
      <c r="AF26" s="106"/>
      <c r="AG26" s="106"/>
      <c r="AH26" s="106"/>
      <c r="AI26" s="106"/>
      <c r="AJ26" s="106"/>
      <c r="AK26" s="106"/>
      <c r="AL26" s="106"/>
      <c r="AM26" s="106"/>
      <c r="AN26" s="106"/>
    </row>
    <row r="27">
      <c r="A27" s="109" t="s">
        <v>39</v>
      </c>
      <c r="B27" s="110">
        <f t="shared" ref="B27:AA27" si="8">IFERROR(B20/B18, 0)</f>
        <v>0.8518518519</v>
      </c>
      <c r="C27" s="110">
        <f t="shared" si="8"/>
        <v>0.9541284404</v>
      </c>
      <c r="D27" s="110">
        <f t="shared" si="8"/>
        <v>1</v>
      </c>
      <c r="E27" s="110">
        <f t="shared" si="8"/>
        <v>0.9545454545</v>
      </c>
      <c r="F27" s="110">
        <f t="shared" si="8"/>
        <v>1</v>
      </c>
      <c r="G27" s="110">
        <f t="shared" si="8"/>
        <v>1</v>
      </c>
      <c r="H27" s="110">
        <f t="shared" si="8"/>
        <v>1</v>
      </c>
      <c r="I27" s="110">
        <f t="shared" si="8"/>
        <v>0.8</v>
      </c>
      <c r="J27" s="110">
        <f t="shared" si="8"/>
        <v>0.78125</v>
      </c>
      <c r="K27" s="110">
        <f t="shared" si="8"/>
        <v>1</v>
      </c>
      <c r="L27" s="110">
        <f t="shared" si="8"/>
        <v>1</v>
      </c>
      <c r="M27" s="110">
        <f t="shared" si="8"/>
        <v>0.8761904762</v>
      </c>
      <c r="N27" s="110">
        <f t="shared" si="8"/>
        <v>0.9615384615</v>
      </c>
      <c r="O27" s="110">
        <f t="shared" si="8"/>
        <v>0.7083333333</v>
      </c>
      <c r="P27" s="110">
        <f t="shared" si="8"/>
        <v>0.875</v>
      </c>
      <c r="Q27" s="110">
        <f t="shared" si="8"/>
        <v>0.9626168224</v>
      </c>
      <c r="R27" s="110">
        <f t="shared" si="8"/>
        <v>0.8641975309</v>
      </c>
      <c r="S27" s="110">
        <f t="shared" si="8"/>
        <v>0.9438202247</v>
      </c>
      <c r="T27" s="447">
        <f t="shared" si="8"/>
        <v>0.962962963</v>
      </c>
      <c r="U27" s="110">
        <f t="shared" si="8"/>
        <v>0</v>
      </c>
      <c r="V27" s="110">
        <f t="shared" si="8"/>
        <v>0</v>
      </c>
      <c r="W27" s="110">
        <f t="shared" si="8"/>
        <v>0</v>
      </c>
      <c r="X27" s="110">
        <f t="shared" si="8"/>
        <v>0</v>
      </c>
      <c r="Y27" s="110">
        <f t="shared" si="8"/>
        <v>0</v>
      </c>
      <c r="Z27" s="110">
        <f t="shared" si="8"/>
        <v>0</v>
      </c>
      <c r="AA27" s="110">
        <f t="shared" si="8"/>
        <v>0</v>
      </c>
      <c r="AB27" s="110"/>
      <c r="AC27" s="110"/>
      <c r="AD27" s="110"/>
      <c r="AE27" s="110"/>
      <c r="AF27" s="110"/>
      <c r="AG27" s="110"/>
      <c r="AH27" s="110"/>
      <c r="AI27" s="110"/>
      <c r="AJ27" s="110"/>
      <c r="AK27" s="110"/>
      <c r="AL27" s="110"/>
      <c r="AM27" s="110"/>
      <c r="AN27" s="110"/>
    </row>
    <row r="28">
      <c r="A28" s="114" t="s">
        <v>40</v>
      </c>
      <c r="B28" s="115">
        <f t="shared" ref="B28:AA28" si="9">B22/B8</f>
        <v>0.6818181818</v>
      </c>
      <c r="C28" s="115">
        <f t="shared" si="9"/>
        <v>0.6904761905</v>
      </c>
      <c r="D28" s="115">
        <f t="shared" si="9"/>
        <v>0.984962406</v>
      </c>
      <c r="E28" s="115">
        <f t="shared" si="9"/>
        <v>0.5</v>
      </c>
      <c r="F28" s="115">
        <f t="shared" si="9"/>
        <v>0.4777070064</v>
      </c>
      <c r="G28" s="115">
        <f t="shared" si="9"/>
        <v>0.2142857143</v>
      </c>
      <c r="H28" s="115">
        <f t="shared" si="9"/>
        <v>0.4035087719</v>
      </c>
      <c r="I28" s="115">
        <f t="shared" si="9"/>
        <v>0.5656565657</v>
      </c>
      <c r="J28" s="115">
        <f t="shared" si="9"/>
        <v>0.8121546961</v>
      </c>
      <c r="K28" s="115">
        <f t="shared" si="9"/>
        <v>0.8827160494</v>
      </c>
      <c r="L28" s="115">
        <f t="shared" si="9"/>
        <v>0.7202072539</v>
      </c>
      <c r="M28" s="115">
        <f t="shared" si="9"/>
        <v>0.8034682081</v>
      </c>
      <c r="N28" s="115">
        <f t="shared" si="9"/>
        <v>0.9710982659</v>
      </c>
      <c r="O28" s="115">
        <f t="shared" si="9"/>
        <v>0.9181818182</v>
      </c>
      <c r="P28" s="115">
        <f t="shared" si="9"/>
        <v>0.8443113772</v>
      </c>
      <c r="Q28" s="115">
        <f t="shared" si="9"/>
        <v>0.9734513274</v>
      </c>
      <c r="R28" s="115">
        <f t="shared" si="9"/>
        <v>0.8453608247</v>
      </c>
      <c r="S28" s="115">
        <f t="shared" si="9"/>
        <v>0.9180327869</v>
      </c>
      <c r="T28" s="448">
        <f t="shared" si="9"/>
        <v>1.256880734</v>
      </c>
      <c r="U28" s="115" t="str">
        <f t="shared" si="9"/>
        <v>#VALUE!</v>
      </c>
      <c r="V28" s="115" t="str">
        <f t="shared" si="9"/>
        <v>#VALUE!</v>
      </c>
      <c r="W28" s="115" t="str">
        <f t="shared" si="9"/>
        <v>#VALUE!</v>
      </c>
      <c r="X28" s="115" t="str">
        <f t="shared" si="9"/>
        <v>#VALUE!</v>
      </c>
      <c r="Y28" s="115" t="str">
        <f t="shared" si="9"/>
        <v>#VALUE!</v>
      </c>
      <c r="Z28" s="115" t="str">
        <f t="shared" si="9"/>
        <v>#VALUE!</v>
      </c>
      <c r="AA28" s="115" t="str">
        <f t="shared" si="9"/>
        <v>#VALUE!</v>
      </c>
      <c r="AB28" s="115"/>
      <c r="AC28" s="115"/>
      <c r="AD28" s="115"/>
      <c r="AE28" s="115"/>
      <c r="AF28" s="115"/>
      <c r="AG28" s="115"/>
      <c r="AH28" s="115"/>
      <c r="AI28" s="115"/>
      <c r="AJ28" s="115"/>
      <c r="AK28" s="115"/>
      <c r="AL28" s="115"/>
      <c r="AM28" s="115"/>
      <c r="AN28" s="115"/>
    </row>
    <row r="29">
      <c r="A29" s="117" t="s">
        <v>41</v>
      </c>
      <c r="B29" s="118"/>
      <c r="C29" s="119"/>
      <c r="D29" s="119"/>
      <c r="E29" s="119"/>
      <c r="F29" s="119"/>
      <c r="G29" s="119"/>
      <c r="H29" s="119"/>
      <c r="I29" s="119"/>
      <c r="J29" s="119"/>
      <c r="K29" s="119"/>
      <c r="L29" s="119"/>
      <c r="M29" s="119"/>
      <c r="N29" s="119"/>
      <c r="O29" s="119"/>
      <c r="P29" s="119"/>
      <c r="Q29" s="119"/>
      <c r="R29" s="119"/>
      <c r="S29" s="119"/>
      <c r="T29" s="449"/>
      <c r="U29" s="119"/>
      <c r="V29" s="119"/>
      <c r="W29" s="119"/>
      <c r="X29" s="119"/>
      <c r="Y29" s="119"/>
      <c r="Z29" s="119"/>
      <c r="AA29" s="119"/>
      <c r="AB29" s="119"/>
      <c r="AC29" s="119"/>
      <c r="AD29" s="119"/>
      <c r="AE29" s="119"/>
      <c r="AF29" s="119"/>
      <c r="AG29" s="119"/>
      <c r="AH29" s="119"/>
      <c r="AI29" s="119"/>
      <c r="AJ29" s="119"/>
      <c r="AK29" s="119"/>
      <c r="AL29" s="119"/>
      <c r="AM29" s="119"/>
      <c r="AN29" s="119"/>
    </row>
    <row r="30">
      <c r="A30" s="184" t="s">
        <v>141</v>
      </c>
      <c r="B30" s="185">
        <f t="shared" ref="B30:AA30" si="10">B94/B36</f>
        <v>0</v>
      </c>
      <c r="C30" s="185">
        <f t="shared" si="10"/>
        <v>0</v>
      </c>
      <c r="D30" s="185">
        <f t="shared" si="10"/>
        <v>0</v>
      </c>
      <c r="E30" s="185">
        <f t="shared" si="10"/>
        <v>0</v>
      </c>
      <c r="F30" s="185">
        <f t="shared" si="10"/>
        <v>0</v>
      </c>
      <c r="G30" s="185">
        <f t="shared" si="10"/>
        <v>0</v>
      </c>
      <c r="H30" s="185">
        <f t="shared" si="10"/>
        <v>0</v>
      </c>
      <c r="I30" s="185">
        <f t="shared" si="10"/>
        <v>0</v>
      </c>
      <c r="J30" s="185">
        <f t="shared" si="10"/>
        <v>0</v>
      </c>
      <c r="K30" s="185">
        <f t="shared" si="10"/>
        <v>0</v>
      </c>
      <c r="L30" s="185">
        <f t="shared" si="10"/>
        <v>0</v>
      </c>
      <c r="M30" s="185">
        <f t="shared" si="10"/>
        <v>0</v>
      </c>
      <c r="N30" s="185">
        <f t="shared" si="10"/>
        <v>0</v>
      </c>
      <c r="O30" s="185">
        <f t="shared" si="10"/>
        <v>0</v>
      </c>
      <c r="P30" s="185">
        <f t="shared" si="10"/>
        <v>0</v>
      </c>
      <c r="Q30" s="185">
        <f t="shared" si="10"/>
        <v>0</v>
      </c>
      <c r="R30" s="185">
        <f t="shared" si="10"/>
        <v>0</v>
      </c>
      <c r="S30" s="185">
        <f t="shared" si="10"/>
        <v>0</v>
      </c>
      <c r="T30" s="185">
        <f t="shared" si="10"/>
        <v>0</v>
      </c>
      <c r="U30" s="185" t="str">
        <f t="shared" si="10"/>
        <v>#DIV/0!</v>
      </c>
      <c r="V30" s="185" t="str">
        <f t="shared" si="10"/>
        <v>#DIV/0!</v>
      </c>
      <c r="W30" s="185" t="str">
        <f t="shared" si="10"/>
        <v>#DIV/0!</v>
      </c>
      <c r="X30" s="185" t="str">
        <f t="shared" si="10"/>
        <v>#DIV/0!</v>
      </c>
      <c r="Y30" s="185" t="str">
        <f t="shared" si="10"/>
        <v>#DIV/0!</v>
      </c>
      <c r="Z30" s="185" t="str">
        <f t="shared" si="10"/>
        <v>#DIV/0!</v>
      </c>
      <c r="AA30" s="185" t="str">
        <f t="shared" si="10"/>
        <v>#DIV/0!</v>
      </c>
      <c r="AB30" s="185"/>
      <c r="AC30" s="185"/>
      <c r="AD30" s="185"/>
      <c r="AE30" s="185"/>
      <c r="AF30" s="185"/>
      <c r="AG30" s="185"/>
      <c r="AH30" s="185"/>
      <c r="AI30" s="185"/>
      <c r="AJ30" s="185"/>
      <c r="AK30" s="185"/>
      <c r="AL30" s="185"/>
      <c r="AM30" s="185"/>
      <c r="AN30" s="185"/>
    </row>
    <row r="31">
      <c r="A31" s="187" t="s">
        <v>42</v>
      </c>
      <c r="B31" s="191">
        <f t="shared" ref="B31:AA31" si="11">B66/B36</f>
        <v>0.3909090909</v>
      </c>
      <c r="C31" s="191">
        <f t="shared" si="11"/>
        <v>0.3492063492</v>
      </c>
      <c r="D31" s="191">
        <f t="shared" si="11"/>
        <v>0.4135338346</v>
      </c>
      <c r="E31" s="191">
        <f t="shared" si="11"/>
        <v>0.75</v>
      </c>
      <c r="F31" s="191">
        <f t="shared" si="11"/>
        <v>0.3503184713</v>
      </c>
      <c r="G31" s="191">
        <f t="shared" si="11"/>
        <v>0.6071428571</v>
      </c>
      <c r="H31" s="191">
        <f t="shared" si="11"/>
        <v>0.3859649123</v>
      </c>
      <c r="I31" s="191">
        <f t="shared" si="11"/>
        <v>0.3939393939</v>
      </c>
      <c r="J31" s="191">
        <f t="shared" si="11"/>
        <v>0.4640883978</v>
      </c>
      <c r="K31" s="191">
        <f t="shared" si="11"/>
        <v>0.4320987654</v>
      </c>
      <c r="L31" s="191">
        <f t="shared" si="11"/>
        <v>0.4196891192</v>
      </c>
      <c r="M31" s="191">
        <f t="shared" si="11"/>
        <v>0.5144508671</v>
      </c>
      <c r="N31" s="191">
        <f t="shared" si="11"/>
        <v>0.3063583815</v>
      </c>
      <c r="O31" s="191">
        <f t="shared" si="11"/>
        <v>0.4272727273</v>
      </c>
      <c r="P31" s="191">
        <f t="shared" si="11"/>
        <v>0.2814371257</v>
      </c>
      <c r="Q31" s="191">
        <f t="shared" si="11"/>
        <v>0.3008849558</v>
      </c>
      <c r="R31" s="191">
        <f t="shared" si="11"/>
        <v>0.2680412371</v>
      </c>
      <c r="S31" s="191">
        <f t="shared" si="11"/>
        <v>0.3852459016</v>
      </c>
      <c r="T31" s="450">
        <f t="shared" si="11"/>
        <v>0.3853211009</v>
      </c>
      <c r="U31" s="191" t="str">
        <f t="shared" si="11"/>
        <v>#DIV/0!</v>
      </c>
      <c r="V31" s="191" t="str">
        <f t="shared" si="11"/>
        <v>#DIV/0!</v>
      </c>
      <c r="W31" s="191" t="str">
        <f t="shared" si="11"/>
        <v>#DIV/0!</v>
      </c>
      <c r="X31" s="191" t="str">
        <f t="shared" si="11"/>
        <v>#DIV/0!</v>
      </c>
      <c r="Y31" s="191" t="str">
        <f t="shared" si="11"/>
        <v>#DIV/0!</v>
      </c>
      <c r="Z31" s="191" t="str">
        <f t="shared" si="11"/>
        <v>#DIV/0!</v>
      </c>
      <c r="AA31" s="191" t="str">
        <f t="shared" si="11"/>
        <v>#DIV/0!</v>
      </c>
      <c r="AB31" s="191"/>
      <c r="AC31" s="191"/>
      <c r="AD31" s="191"/>
      <c r="AE31" s="191"/>
      <c r="AF31" s="191"/>
      <c r="AG31" s="191"/>
      <c r="AH31" s="191"/>
      <c r="AI31" s="191"/>
      <c r="AJ31" s="191"/>
      <c r="AK31" s="191"/>
      <c r="AL31" s="191"/>
      <c r="AM31" s="191"/>
      <c r="AN31" s="191"/>
    </row>
    <row r="32">
      <c r="A32" s="190" t="s">
        <v>43</v>
      </c>
      <c r="B32" s="191">
        <v>1.0</v>
      </c>
      <c r="C32" s="191">
        <v>1.0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91">
        <v>1.0</v>
      </c>
      <c r="S32" s="191">
        <v>1.0</v>
      </c>
      <c r="T32" s="450">
        <v>1.0</v>
      </c>
      <c r="U32" s="185">
        <v>0.0</v>
      </c>
      <c r="V32" s="185">
        <v>0.0</v>
      </c>
      <c r="W32" s="185">
        <v>0.0</v>
      </c>
      <c r="X32" s="185">
        <v>0.0</v>
      </c>
      <c r="Y32" s="185">
        <v>0.0</v>
      </c>
      <c r="Z32" s="185">
        <v>0.0</v>
      </c>
      <c r="AA32" s="185">
        <v>0.0</v>
      </c>
      <c r="AB32" s="185"/>
      <c r="AC32" s="185"/>
      <c r="AD32" s="185"/>
      <c r="AE32" s="185"/>
      <c r="AF32" s="185"/>
      <c r="AG32" s="185"/>
      <c r="AH32" s="185"/>
      <c r="AI32" s="185"/>
      <c r="AJ32" s="185"/>
      <c r="AK32" s="185"/>
      <c r="AL32" s="185"/>
      <c r="AM32" s="185"/>
      <c r="AN32" s="185"/>
    </row>
    <row r="33">
      <c r="A33" s="187" t="s">
        <v>44</v>
      </c>
      <c r="B33" s="192">
        <f t="shared" ref="B33:AA33" si="12">(B24*0.7) + (IF(B31 &gt;= 30%, 1, 0)*0.15) + (B32*0.15)</f>
        <v>1</v>
      </c>
      <c r="C33" s="192">
        <f t="shared" si="12"/>
        <v>1</v>
      </c>
      <c r="D33" s="192">
        <f t="shared" si="12"/>
        <v>1</v>
      </c>
      <c r="E33" s="192">
        <f t="shared" si="12"/>
        <v>1</v>
      </c>
      <c r="F33" s="192">
        <f t="shared" si="12"/>
        <v>1</v>
      </c>
      <c r="G33" s="192">
        <f t="shared" si="12"/>
        <v>1</v>
      </c>
      <c r="H33" s="192">
        <f t="shared" si="12"/>
        <v>0.3</v>
      </c>
      <c r="I33" s="192">
        <f t="shared" si="12"/>
        <v>0.3</v>
      </c>
      <c r="J33" s="192">
        <f t="shared" si="12"/>
        <v>0.3</v>
      </c>
      <c r="K33" s="192">
        <f t="shared" si="12"/>
        <v>1</v>
      </c>
      <c r="L33" s="192">
        <f t="shared" si="12"/>
        <v>1</v>
      </c>
      <c r="M33" s="192">
        <f t="shared" si="12"/>
        <v>0.3</v>
      </c>
      <c r="N33" s="192">
        <f t="shared" si="12"/>
        <v>1</v>
      </c>
      <c r="O33" s="192">
        <f t="shared" si="12"/>
        <v>0.3</v>
      </c>
      <c r="P33" s="192">
        <f t="shared" si="12"/>
        <v>0.15</v>
      </c>
      <c r="Q33" s="192">
        <f t="shared" si="12"/>
        <v>1</v>
      </c>
      <c r="R33" s="192">
        <f t="shared" si="12"/>
        <v>0.85</v>
      </c>
      <c r="S33" s="192">
        <f t="shared" si="12"/>
        <v>1</v>
      </c>
      <c r="T33" s="451">
        <f t="shared" si="12"/>
        <v>1</v>
      </c>
      <c r="U33" s="192" t="str">
        <f t="shared" si="12"/>
        <v>#DIV/0!</v>
      </c>
      <c r="V33" s="192" t="str">
        <f t="shared" si="12"/>
        <v>#DIV/0!</v>
      </c>
      <c r="W33" s="192" t="str">
        <f t="shared" si="12"/>
        <v>#DIV/0!</v>
      </c>
      <c r="X33" s="192" t="str">
        <f t="shared" si="12"/>
        <v>#DIV/0!</v>
      </c>
      <c r="Y33" s="192" t="str">
        <f t="shared" si="12"/>
        <v>#DIV/0!</v>
      </c>
      <c r="Z33" s="192" t="str">
        <f t="shared" si="12"/>
        <v>#DIV/0!</v>
      </c>
      <c r="AA33" s="192" t="str">
        <f t="shared" si="12"/>
        <v>#DIV/0!</v>
      </c>
      <c r="AB33" s="192" t="b">
        <v>0</v>
      </c>
      <c r="AC33" s="192" t="b">
        <v>0</v>
      </c>
      <c r="AD33" s="192" t="b">
        <v>0</v>
      </c>
      <c r="AE33" s="192" t="b">
        <v>0</v>
      </c>
      <c r="AF33" s="192" t="b">
        <v>0</v>
      </c>
      <c r="AG33" s="192" t="b">
        <v>0</v>
      </c>
      <c r="AH33" s="192" t="b">
        <v>0</v>
      </c>
      <c r="AI33" s="192" t="b">
        <v>0</v>
      </c>
      <c r="AJ33" s="192" t="b">
        <v>0</v>
      </c>
      <c r="AK33" s="192" t="b">
        <v>0</v>
      </c>
      <c r="AL33" s="192" t="b">
        <v>0</v>
      </c>
      <c r="AM33" s="192" t="b">
        <v>0</v>
      </c>
      <c r="AN33" s="192" t="b">
        <v>0</v>
      </c>
    </row>
    <row r="34">
      <c r="A34" s="193" t="s">
        <v>142</v>
      </c>
      <c r="O34" s="192">
        <v>0.3</v>
      </c>
      <c r="P34" s="195">
        <v>0.3</v>
      </c>
      <c r="Q34" s="192">
        <v>1.0</v>
      </c>
      <c r="R34" s="195">
        <v>1.0</v>
      </c>
      <c r="S34" s="192">
        <v>1.0</v>
      </c>
      <c r="T34" s="192">
        <v>1.0</v>
      </c>
    </row>
    <row r="35">
      <c r="A35" s="262" t="s">
        <v>684</v>
      </c>
      <c r="B35" s="283">
        <f t="shared" ref="B35:AA35" si="13">SUM(B37:B49)</f>
        <v>139</v>
      </c>
      <c r="C35" s="283">
        <f t="shared" si="13"/>
        <v>141</v>
      </c>
      <c r="D35" s="283">
        <f t="shared" si="13"/>
        <v>176</v>
      </c>
      <c r="E35" s="283">
        <f t="shared" si="13"/>
        <v>181</v>
      </c>
      <c r="F35" s="283">
        <f t="shared" si="13"/>
        <v>193</v>
      </c>
      <c r="G35" s="283">
        <f t="shared" si="13"/>
        <v>204</v>
      </c>
      <c r="H35" s="283">
        <f t="shared" si="13"/>
        <v>145</v>
      </c>
      <c r="I35" s="283">
        <f t="shared" si="13"/>
        <v>211</v>
      </c>
      <c r="J35" s="283">
        <f t="shared" si="13"/>
        <v>190</v>
      </c>
      <c r="K35" s="283">
        <f t="shared" si="13"/>
        <v>179</v>
      </c>
      <c r="L35" s="283">
        <f t="shared" si="13"/>
        <v>215</v>
      </c>
      <c r="M35" s="283">
        <f t="shared" si="13"/>
        <v>220</v>
      </c>
      <c r="N35" s="283">
        <f t="shared" si="13"/>
        <v>204</v>
      </c>
      <c r="O35" s="283">
        <f t="shared" si="13"/>
        <v>123</v>
      </c>
      <c r="P35" s="283">
        <f t="shared" si="13"/>
        <v>216</v>
      </c>
      <c r="Q35" s="283">
        <f t="shared" si="13"/>
        <v>142</v>
      </c>
      <c r="R35" s="283">
        <f t="shared" si="13"/>
        <v>122</v>
      </c>
      <c r="S35" s="283">
        <f t="shared" si="13"/>
        <v>155</v>
      </c>
      <c r="T35" s="452">
        <f t="shared" si="13"/>
        <v>137</v>
      </c>
      <c r="U35" s="283">
        <f t="shared" si="13"/>
        <v>0</v>
      </c>
      <c r="V35" s="283">
        <f t="shared" si="13"/>
        <v>0</v>
      </c>
      <c r="W35" s="283">
        <f t="shared" si="13"/>
        <v>0</v>
      </c>
      <c r="X35" s="283">
        <f t="shared" si="13"/>
        <v>0</v>
      </c>
      <c r="Y35" s="283">
        <f t="shared" si="13"/>
        <v>0</v>
      </c>
      <c r="Z35" s="283">
        <f t="shared" si="13"/>
        <v>0</v>
      </c>
      <c r="AA35" s="283">
        <f t="shared" si="13"/>
        <v>0</v>
      </c>
      <c r="AB35" s="283"/>
      <c r="AC35" s="283"/>
      <c r="AD35" s="283"/>
      <c r="AE35" s="283"/>
      <c r="AF35" s="283"/>
      <c r="AG35" s="283"/>
      <c r="AH35" s="283"/>
      <c r="AI35" s="283"/>
      <c r="AJ35" s="283"/>
      <c r="AK35" s="283"/>
      <c r="AL35" s="283"/>
      <c r="AM35" s="283"/>
      <c r="AN35" s="283"/>
    </row>
    <row r="36">
      <c r="A36" s="126" t="s">
        <v>45</v>
      </c>
      <c r="B36" s="283">
        <f t="shared" ref="B36:C36" si="14">B37+B40+B42+B43+B48+B34</f>
        <v>110</v>
      </c>
      <c r="C36" s="283">
        <f t="shared" si="14"/>
        <v>126</v>
      </c>
      <c r="D36" s="283">
        <f t="shared" ref="D36:H36" si="15">D40+D45+D46</f>
        <v>133</v>
      </c>
      <c r="E36" s="283">
        <f t="shared" si="15"/>
        <v>136</v>
      </c>
      <c r="F36" s="283">
        <f t="shared" si="15"/>
        <v>157</v>
      </c>
      <c r="G36" s="283">
        <f t="shared" si="15"/>
        <v>168</v>
      </c>
      <c r="H36" s="283">
        <f t="shared" si="15"/>
        <v>114</v>
      </c>
      <c r="I36" s="283">
        <f t="shared" ref="I36:AA36" si="16">I37+I40+I43+I45+I46</f>
        <v>198</v>
      </c>
      <c r="J36" s="283">
        <f t="shared" si="16"/>
        <v>181</v>
      </c>
      <c r="K36" s="283">
        <f t="shared" si="16"/>
        <v>162</v>
      </c>
      <c r="L36" s="283">
        <f t="shared" si="16"/>
        <v>193</v>
      </c>
      <c r="M36" s="283">
        <f t="shared" si="16"/>
        <v>173</v>
      </c>
      <c r="N36" s="283">
        <f t="shared" si="16"/>
        <v>173</v>
      </c>
      <c r="O36" s="283">
        <f t="shared" si="16"/>
        <v>110</v>
      </c>
      <c r="P36" s="283">
        <f t="shared" si="16"/>
        <v>167</v>
      </c>
      <c r="Q36" s="283">
        <f t="shared" si="16"/>
        <v>113</v>
      </c>
      <c r="R36" s="283">
        <f t="shared" si="16"/>
        <v>97</v>
      </c>
      <c r="S36" s="283">
        <f t="shared" si="16"/>
        <v>122</v>
      </c>
      <c r="T36" s="452">
        <f t="shared" si="16"/>
        <v>109</v>
      </c>
      <c r="U36" s="283">
        <f t="shared" si="16"/>
        <v>0</v>
      </c>
      <c r="V36" s="283">
        <f t="shared" si="16"/>
        <v>0</v>
      </c>
      <c r="W36" s="283">
        <f t="shared" si="16"/>
        <v>0</v>
      </c>
      <c r="X36" s="283">
        <f t="shared" si="16"/>
        <v>0</v>
      </c>
      <c r="Y36" s="283">
        <f t="shared" si="16"/>
        <v>0</v>
      </c>
      <c r="Z36" s="283">
        <f t="shared" si="16"/>
        <v>0</v>
      </c>
      <c r="AA36" s="283">
        <f t="shared" si="16"/>
        <v>0</v>
      </c>
      <c r="AB36" s="283"/>
      <c r="AC36" s="283"/>
      <c r="AD36" s="283"/>
      <c r="AE36" s="283"/>
      <c r="AF36" s="283"/>
      <c r="AG36" s="283"/>
      <c r="AH36" s="283"/>
      <c r="AI36" s="283"/>
      <c r="AJ36" s="283"/>
      <c r="AK36" s="283"/>
      <c r="AL36" s="283"/>
      <c r="AM36" s="283"/>
      <c r="AN36" s="283"/>
    </row>
    <row r="37">
      <c r="A37" s="131" t="s">
        <v>685</v>
      </c>
      <c r="B37" s="132">
        <v>0.0</v>
      </c>
      <c r="C37" s="453">
        <v>31.0</v>
      </c>
      <c r="D37" s="130"/>
      <c r="E37" s="130"/>
      <c r="F37" s="130"/>
      <c r="G37" s="130"/>
      <c r="H37" s="130"/>
      <c r="I37" s="133">
        <v>50.0</v>
      </c>
      <c r="J37" s="133">
        <v>39.0</v>
      </c>
      <c r="K37" s="133">
        <v>45.0</v>
      </c>
      <c r="L37" s="133">
        <v>51.0</v>
      </c>
      <c r="M37" s="133">
        <v>48.0</v>
      </c>
      <c r="N37" s="133">
        <v>50.0</v>
      </c>
      <c r="O37" s="133">
        <v>47.0</v>
      </c>
      <c r="P37" s="133">
        <v>49.0</v>
      </c>
      <c r="Q37" s="133">
        <v>31.0</v>
      </c>
      <c r="R37" s="133">
        <v>48.0</v>
      </c>
      <c r="S37" s="133">
        <v>44.0</v>
      </c>
      <c r="T37" s="288">
        <v>49.0</v>
      </c>
      <c r="U37" s="133"/>
      <c r="V37" s="133"/>
      <c r="W37" s="133"/>
      <c r="X37" s="133"/>
      <c r="Y37" s="133"/>
      <c r="Z37" s="133"/>
      <c r="AA37" s="133"/>
      <c r="AB37" s="133"/>
      <c r="AC37" s="133"/>
      <c r="AD37" s="133"/>
      <c r="AE37" s="133"/>
      <c r="AF37" s="133"/>
      <c r="AG37" s="133"/>
      <c r="AH37" s="133"/>
      <c r="AI37" s="133"/>
      <c r="AJ37" s="133"/>
      <c r="AK37" s="133"/>
      <c r="AL37" s="133"/>
      <c r="AM37" s="133"/>
      <c r="AN37" s="133"/>
    </row>
    <row r="38">
      <c r="A38" s="131" t="s">
        <v>686</v>
      </c>
      <c r="B38" s="132"/>
      <c r="D38" s="133"/>
      <c r="E38" s="133"/>
      <c r="F38" s="133"/>
      <c r="G38" s="133"/>
      <c r="H38" s="133"/>
      <c r="I38" s="133"/>
      <c r="J38" s="133"/>
      <c r="K38" s="133"/>
      <c r="L38" s="133">
        <v>13.0</v>
      </c>
      <c r="M38" s="133">
        <v>13.0</v>
      </c>
      <c r="N38" s="133">
        <v>10.0</v>
      </c>
      <c r="O38" s="133">
        <v>7.0</v>
      </c>
      <c r="P38" s="133">
        <v>5.0</v>
      </c>
      <c r="Q38" s="133">
        <v>3.0</v>
      </c>
      <c r="R38" s="133">
        <v>10.0</v>
      </c>
      <c r="S38" s="133">
        <v>13.0</v>
      </c>
      <c r="T38" s="288">
        <v>5.0</v>
      </c>
      <c r="U38" s="133"/>
      <c r="V38" s="133"/>
      <c r="W38" s="133"/>
      <c r="X38" s="133"/>
      <c r="Y38" s="133"/>
      <c r="Z38" s="133"/>
      <c r="AA38" s="133"/>
      <c r="AB38" s="133"/>
      <c r="AC38" s="133"/>
      <c r="AD38" s="133"/>
      <c r="AE38" s="133"/>
      <c r="AF38" s="133"/>
      <c r="AG38" s="133"/>
      <c r="AH38" s="133"/>
      <c r="AI38" s="133"/>
      <c r="AJ38" s="133"/>
      <c r="AK38" s="133"/>
      <c r="AL38" s="133"/>
      <c r="AM38" s="133"/>
      <c r="AN38" s="133"/>
    </row>
    <row r="39">
      <c r="A39" s="131" t="s">
        <v>687</v>
      </c>
      <c r="B39" s="132">
        <v>0.0</v>
      </c>
      <c r="C39" s="133">
        <v>0.0</v>
      </c>
      <c r="D39" s="133">
        <v>24.0</v>
      </c>
      <c r="E39" s="133">
        <v>27.0</v>
      </c>
      <c r="F39" s="133">
        <v>13.0</v>
      </c>
      <c r="G39" s="133">
        <v>18.0</v>
      </c>
      <c r="H39" s="133">
        <v>18.0</v>
      </c>
      <c r="I39" s="133">
        <v>3.0</v>
      </c>
      <c r="J39" s="133">
        <v>3.0</v>
      </c>
      <c r="K39" s="133">
        <v>6.0</v>
      </c>
      <c r="L39" s="133">
        <v>3.0</v>
      </c>
      <c r="M39" s="133">
        <v>16.0</v>
      </c>
      <c r="N39" s="133">
        <v>10.0</v>
      </c>
      <c r="O39" s="133">
        <v>1.0</v>
      </c>
      <c r="P39" s="133">
        <v>5.0</v>
      </c>
      <c r="Q39" s="133">
        <v>0.0</v>
      </c>
      <c r="R39" s="133">
        <v>10.0</v>
      </c>
      <c r="S39" s="133">
        <v>8.0</v>
      </c>
      <c r="T39" s="288"/>
      <c r="U39" s="133"/>
      <c r="V39" s="133"/>
      <c r="W39" s="133"/>
      <c r="X39" s="133"/>
      <c r="Y39" s="133"/>
      <c r="Z39" s="133"/>
      <c r="AA39" s="133"/>
      <c r="AB39" s="133"/>
      <c r="AC39" s="133"/>
      <c r="AD39" s="133"/>
      <c r="AE39" s="133"/>
      <c r="AF39" s="133"/>
      <c r="AG39" s="133"/>
      <c r="AH39" s="133"/>
      <c r="AI39" s="133"/>
      <c r="AJ39" s="133"/>
      <c r="AK39" s="133"/>
      <c r="AL39" s="133"/>
      <c r="AM39" s="133"/>
      <c r="AN39" s="133"/>
    </row>
    <row r="40">
      <c r="A40" s="131" t="s">
        <v>688</v>
      </c>
      <c r="B40" s="132">
        <v>24.0</v>
      </c>
      <c r="C40" s="453">
        <v>32.0</v>
      </c>
      <c r="D40" s="133">
        <v>39.0</v>
      </c>
      <c r="E40" s="133">
        <v>38.0</v>
      </c>
      <c r="F40" s="133">
        <v>48.0</v>
      </c>
      <c r="G40" s="133">
        <v>55.0</v>
      </c>
      <c r="H40" s="133">
        <v>26.0</v>
      </c>
      <c r="I40" s="133">
        <v>26.0</v>
      </c>
      <c r="J40" s="133">
        <v>34.0</v>
      </c>
      <c r="K40" s="133">
        <v>30.0</v>
      </c>
      <c r="L40" s="133">
        <v>40.0</v>
      </c>
      <c r="M40" s="133">
        <v>37.0</v>
      </c>
      <c r="N40" s="133">
        <v>32.0</v>
      </c>
      <c r="O40" s="133">
        <v>29.0</v>
      </c>
      <c r="P40" s="133">
        <v>39.0</v>
      </c>
      <c r="Q40" s="133">
        <v>26.0</v>
      </c>
      <c r="R40" s="133">
        <v>15.0</v>
      </c>
      <c r="S40" s="133">
        <v>29.0</v>
      </c>
      <c r="T40" s="288">
        <v>27.0</v>
      </c>
      <c r="U40" s="133"/>
      <c r="V40" s="133"/>
      <c r="W40" s="133"/>
      <c r="X40" s="133"/>
      <c r="Y40" s="133"/>
      <c r="Z40" s="133"/>
      <c r="AA40" s="133"/>
      <c r="AB40" s="133"/>
      <c r="AC40" s="133"/>
      <c r="AD40" s="133"/>
      <c r="AE40" s="133"/>
      <c r="AF40" s="133"/>
      <c r="AG40" s="133"/>
      <c r="AH40" s="133"/>
      <c r="AI40" s="133"/>
      <c r="AJ40" s="133"/>
      <c r="AK40" s="133"/>
      <c r="AL40" s="133"/>
      <c r="AM40" s="133"/>
      <c r="AN40" s="133"/>
    </row>
    <row r="41" hidden="1">
      <c r="A41" s="131" t="s">
        <v>689</v>
      </c>
      <c r="B41" s="132">
        <v>5.0</v>
      </c>
      <c r="C41" s="133">
        <v>0.0</v>
      </c>
      <c r="D41" s="130"/>
      <c r="E41" s="130"/>
      <c r="F41" s="130"/>
      <c r="G41" s="130"/>
      <c r="H41" s="130"/>
      <c r="I41" s="130"/>
      <c r="J41" s="130"/>
      <c r="K41" s="130"/>
      <c r="L41" s="130"/>
      <c r="M41" s="130"/>
      <c r="N41" s="130"/>
      <c r="O41" s="130"/>
      <c r="P41" s="130"/>
      <c r="Q41" s="133"/>
      <c r="R41" s="133"/>
      <c r="S41" s="133"/>
      <c r="T41" s="288"/>
      <c r="U41" s="133"/>
      <c r="V41" s="133"/>
      <c r="W41" s="133"/>
      <c r="X41" s="133"/>
      <c r="Y41" s="133"/>
      <c r="Z41" s="133"/>
      <c r="AA41" s="133"/>
      <c r="AB41" s="133"/>
      <c r="AC41" s="133"/>
      <c r="AD41" s="133"/>
      <c r="AE41" s="133"/>
      <c r="AF41" s="133"/>
      <c r="AG41" s="133"/>
      <c r="AH41" s="133"/>
      <c r="AI41" s="133"/>
      <c r="AJ41" s="133"/>
      <c r="AK41" s="133"/>
      <c r="AL41" s="133"/>
      <c r="AM41" s="133"/>
      <c r="AN41" s="133"/>
    </row>
    <row r="42" hidden="1">
      <c r="A42" s="131" t="s">
        <v>690</v>
      </c>
      <c r="B42" s="132">
        <v>23.0</v>
      </c>
      <c r="C42" s="133"/>
      <c r="D42" s="130"/>
      <c r="E42" s="130"/>
      <c r="F42" s="130"/>
      <c r="G42" s="130"/>
      <c r="H42" s="130"/>
      <c r="I42" s="130"/>
      <c r="J42" s="130"/>
      <c r="K42" s="130"/>
      <c r="L42" s="130"/>
      <c r="M42" s="130"/>
      <c r="N42" s="130"/>
      <c r="O42" s="130"/>
      <c r="P42" s="130"/>
      <c r="Q42" s="133"/>
      <c r="R42" s="133"/>
      <c r="S42" s="133"/>
      <c r="T42" s="288"/>
      <c r="U42" s="133"/>
      <c r="V42" s="133"/>
      <c r="W42" s="133"/>
      <c r="X42" s="133"/>
      <c r="Y42" s="133"/>
      <c r="Z42" s="133"/>
      <c r="AA42" s="133"/>
      <c r="AB42" s="133"/>
      <c r="AC42" s="133"/>
      <c r="AD42" s="133"/>
      <c r="AE42" s="133"/>
      <c r="AF42" s="133"/>
      <c r="AG42" s="133"/>
      <c r="AH42" s="133"/>
      <c r="AI42" s="133"/>
      <c r="AJ42" s="133"/>
      <c r="AK42" s="133"/>
      <c r="AL42" s="133"/>
      <c r="AM42" s="133"/>
      <c r="AN42" s="133"/>
    </row>
    <row r="43" hidden="1">
      <c r="A43" s="131" t="s">
        <v>691</v>
      </c>
      <c r="B43" s="132">
        <v>37.0</v>
      </c>
      <c r="C43" s="453">
        <v>34.0</v>
      </c>
      <c r="D43" s="130"/>
      <c r="E43" s="130"/>
      <c r="F43" s="130"/>
      <c r="G43" s="130"/>
      <c r="H43" s="130"/>
      <c r="I43" s="133">
        <v>34.0</v>
      </c>
      <c r="J43" s="133">
        <v>29.0</v>
      </c>
      <c r="K43" s="133">
        <v>37.0</v>
      </c>
      <c r="L43" s="133">
        <v>42.0</v>
      </c>
      <c r="M43" s="133">
        <v>38.0</v>
      </c>
      <c r="N43" s="133">
        <v>40.0</v>
      </c>
      <c r="O43" s="133">
        <v>34.0</v>
      </c>
      <c r="P43" s="133">
        <v>40.0</v>
      </c>
      <c r="Q43" s="133">
        <v>25.0</v>
      </c>
      <c r="R43" s="133"/>
      <c r="S43" s="133"/>
      <c r="T43" s="288"/>
      <c r="U43" s="133"/>
      <c r="V43" s="133"/>
      <c r="W43" s="133"/>
      <c r="X43" s="133"/>
      <c r="Y43" s="133"/>
      <c r="Z43" s="133"/>
      <c r="AA43" s="133"/>
      <c r="AB43" s="133"/>
      <c r="AC43" s="133"/>
      <c r="AD43" s="133"/>
      <c r="AE43" s="133"/>
      <c r="AF43" s="133"/>
      <c r="AG43" s="133"/>
      <c r="AH43" s="133"/>
      <c r="AI43" s="133"/>
      <c r="AJ43" s="133"/>
      <c r="AK43" s="133"/>
      <c r="AL43" s="133"/>
      <c r="AM43" s="133"/>
      <c r="AN43" s="133"/>
    </row>
    <row r="44" hidden="1">
      <c r="A44" s="131" t="s">
        <v>692</v>
      </c>
      <c r="B44" s="132">
        <v>8.0</v>
      </c>
      <c r="C44" s="453">
        <v>3.0</v>
      </c>
      <c r="D44" s="133">
        <v>19.0</v>
      </c>
      <c r="E44" s="130"/>
      <c r="F44" s="130"/>
      <c r="G44" s="130"/>
      <c r="H44" s="130"/>
      <c r="I44" s="130"/>
      <c r="J44" s="130"/>
      <c r="K44" s="130"/>
      <c r="L44" s="130"/>
      <c r="M44" s="130"/>
      <c r="N44" s="130"/>
      <c r="O44" s="130"/>
      <c r="P44" s="130"/>
      <c r="Q44" s="133"/>
      <c r="R44" s="133"/>
      <c r="S44" s="133"/>
      <c r="T44" s="288"/>
      <c r="U44" s="133"/>
      <c r="V44" s="133"/>
      <c r="W44" s="133"/>
      <c r="X44" s="133"/>
      <c r="Y44" s="133"/>
      <c r="Z44" s="133"/>
      <c r="AA44" s="133"/>
      <c r="AB44" s="133"/>
      <c r="AC44" s="133"/>
      <c r="AD44" s="133"/>
      <c r="AE44" s="133"/>
      <c r="AF44" s="133"/>
      <c r="AG44" s="133"/>
      <c r="AH44" s="133"/>
      <c r="AI44" s="133"/>
      <c r="AJ44" s="133"/>
      <c r="AK44" s="133"/>
      <c r="AL44" s="133"/>
      <c r="AM44" s="133"/>
      <c r="AN44" s="133"/>
    </row>
    <row r="45">
      <c r="A45" s="131" t="s">
        <v>292</v>
      </c>
      <c r="B45" s="132"/>
      <c r="C45" s="454"/>
      <c r="D45" s="133">
        <v>52.0</v>
      </c>
      <c r="E45" s="133">
        <v>51.0</v>
      </c>
      <c r="F45" s="133">
        <v>54.0</v>
      </c>
      <c r="G45" s="133">
        <v>58.0</v>
      </c>
      <c r="H45" s="133">
        <v>46.0</v>
      </c>
      <c r="I45" s="133">
        <v>44.0</v>
      </c>
      <c r="J45" s="133">
        <v>40.0</v>
      </c>
      <c r="K45" s="133">
        <v>50.0</v>
      </c>
      <c r="L45" s="133">
        <v>60.0</v>
      </c>
      <c r="M45" s="133">
        <v>50.0</v>
      </c>
      <c r="N45" s="133">
        <v>51.0</v>
      </c>
      <c r="O45" s="133"/>
      <c r="P45" s="133">
        <v>39.0</v>
      </c>
      <c r="Q45" s="133">
        <v>31.0</v>
      </c>
      <c r="R45" s="133">
        <v>34.0</v>
      </c>
      <c r="S45" s="133">
        <v>49.0</v>
      </c>
      <c r="T45" s="288">
        <v>33.0</v>
      </c>
      <c r="U45" s="130"/>
      <c r="V45" s="130"/>
      <c r="W45" s="130"/>
      <c r="X45" s="130"/>
      <c r="Y45" s="130"/>
      <c r="Z45" s="130"/>
      <c r="AA45" s="130"/>
      <c r="AB45" s="130"/>
      <c r="AC45" s="130"/>
      <c r="AD45" s="130"/>
      <c r="AE45" s="130"/>
      <c r="AF45" s="130"/>
      <c r="AG45" s="130"/>
      <c r="AH45" s="130"/>
      <c r="AI45" s="130"/>
      <c r="AJ45" s="130"/>
      <c r="AK45" s="130"/>
      <c r="AL45" s="130"/>
      <c r="AM45" s="130"/>
      <c r="AN45" s="130"/>
    </row>
    <row r="46" hidden="1">
      <c r="A46" s="131" t="s">
        <v>693</v>
      </c>
      <c r="B46" s="132"/>
      <c r="C46" s="454"/>
      <c r="D46" s="133">
        <v>42.0</v>
      </c>
      <c r="E46" s="133">
        <v>47.0</v>
      </c>
      <c r="F46" s="133">
        <v>55.0</v>
      </c>
      <c r="G46" s="133">
        <v>55.0</v>
      </c>
      <c r="H46" s="133">
        <v>42.0</v>
      </c>
      <c r="I46" s="133">
        <v>44.0</v>
      </c>
      <c r="J46" s="133">
        <v>39.0</v>
      </c>
      <c r="K46" s="133"/>
      <c r="L46" s="133"/>
      <c r="M46" s="133"/>
      <c r="N46" s="130"/>
      <c r="O46" s="130"/>
      <c r="P46" s="130"/>
      <c r="Q46" s="130"/>
      <c r="R46" s="130"/>
      <c r="S46" s="130"/>
      <c r="T46" s="455"/>
      <c r="U46" s="130"/>
      <c r="V46" s="130"/>
      <c r="W46" s="130"/>
      <c r="X46" s="130"/>
      <c r="Y46" s="130"/>
      <c r="Z46" s="130"/>
      <c r="AA46" s="130"/>
      <c r="AB46" s="130"/>
      <c r="AC46" s="130"/>
      <c r="AD46" s="130"/>
      <c r="AE46" s="130"/>
      <c r="AF46" s="130"/>
      <c r="AG46" s="130"/>
      <c r="AH46" s="130"/>
      <c r="AI46" s="130"/>
      <c r="AJ46" s="130"/>
      <c r="AK46" s="130"/>
      <c r="AL46" s="130"/>
      <c r="AM46" s="130"/>
      <c r="AN46" s="130"/>
    </row>
    <row r="47">
      <c r="A47" s="131" t="s">
        <v>694</v>
      </c>
      <c r="B47" s="132">
        <v>16.0</v>
      </c>
      <c r="C47" s="456">
        <v>12.0</v>
      </c>
      <c r="D47" s="133">
        <v>0.0</v>
      </c>
      <c r="E47" s="133">
        <v>18.0</v>
      </c>
      <c r="F47" s="133">
        <v>23.0</v>
      </c>
      <c r="G47" s="133">
        <v>18.0</v>
      </c>
      <c r="H47" s="133">
        <v>13.0</v>
      </c>
      <c r="I47" s="133">
        <v>10.0</v>
      </c>
      <c r="J47" s="133">
        <v>6.0</v>
      </c>
      <c r="K47" s="133">
        <v>11.0</v>
      </c>
      <c r="L47" s="133">
        <v>6.0</v>
      </c>
      <c r="M47" s="133">
        <v>18.0</v>
      </c>
      <c r="N47" s="133">
        <v>11.0</v>
      </c>
      <c r="O47" s="133">
        <v>5.0</v>
      </c>
      <c r="P47" s="133">
        <v>39.0</v>
      </c>
      <c r="Q47" s="133">
        <v>26.0</v>
      </c>
      <c r="R47" s="133">
        <v>5.0</v>
      </c>
      <c r="S47" s="133">
        <v>12.0</v>
      </c>
      <c r="T47" s="288">
        <v>23.0</v>
      </c>
      <c r="U47" s="130"/>
      <c r="V47" s="130"/>
      <c r="W47" s="130"/>
      <c r="X47" s="130"/>
      <c r="Y47" s="130"/>
      <c r="Z47" s="130"/>
      <c r="AA47" s="130"/>
      <c r="AB47" s="130"/>
      <c r="AC47" s="130"/>
      <c r="AD47" s="130"/>
      <c r="AE47" s="130"/>
      <c r="AF47" s="130"/>
      <c r="AG47" s="130"/>
      <c r="AH47" s="130"/>
      <c r="AI47" s="130"/>
      <c r="AJ47" s="130"/>
      <c r="AK47" s="130"/>
      <c r="AL47" s="130"/>
      <c r="AM47" s="130"/>
      <c r="AN47" s="130"/>
    </row>
    <row r="48" hidden="1">
      <c r="A48" s="287" t="s">
        <v>695</v>
      </c>
      <c r="B48" s="137">
        <v>26.0</v>
      </c>
      <c r="C48" s="456">
        <v>29.0</v>
      </c>
      <c r="D48" s="130"/>
      <c r="E48" s="130"/>
      <c r="F48" s="130"/>
      <c r="G48" s="130"/>
      <c r="H48" s="130"/>
      <c r="I48" s="130"/>
      <c r="J48" s="130"/>
      <c r="K48" s="130"/>
      <c r="L48" s="130"/>
      <c r="M48" s="130"/>
      <c r="N48" s="130"/>
      <c r="O48" s="130"/>
      <c r="P48" s="130"/>
      <c r="Q48" s="133"/>
      <c r="R48" s="133"/>
      <c r="S48" s="133"/>
      <c r="T48" s="288"/>
      <c r="U48" s="133"/>
      <c r="V48" s="133"/>
      <c r="W48" s="133"/>
      <c r="X48" s="133"/>
      <c r="Y48" s="133"/>
      <c r="Z48" s="133"/>
      <c r="AA48" s="133"/>
      <c r="AB48" s="133"/>
      <c r="AC48" s="133"/>
      <c r="AD48" s="133"/>
      <c r="AE48" s="133"/>
      <c r="AF48" s="133"/>
      <c r="AG48" s="133"/>
      <c r="AH48" s="133"/>
      <c r="AI48" s="133"/>
      <c r="AJ48" s="133"/>
      <c r="AK48" s="133"/>
      <c r="AL48" s="133"/>
      <c r="AM48" s="133"/>
      <c r="AN48" s="133"/>
    </row>
    <row r="49">
      <c r="A49" s="202"/>
      <c r="B49" s="132"/>
      <c r="C49" s="133"/>
      <c r="D49" s="130"/>
      <c r="E49" s="130"/>
      <c r="F49" s="130"/>
      <c r="G49" s="130"/>
      <c r="H49" s="130"/>
      <c r="I49" s="130"/>
      <c r="J49" s="130"/>
      <c r="K49" s="130"/>
      <c r="L49" s="130"/>
      <c r="M49" s="130"/>
      <c r="N49" s="130"/>
      <c r="O49" s="130"/>
      <c r="P49" s="130"/>
      <c r="Q49" s="133"/>
      <c r="R49" s="133"/>
      <c r="S49" s="133"/>
      <c r="T49" s="288"/>
      <c r="U49" s="133"/>
      <c r="V49" s="133"/>
      <c r="W49" s="133"/>
      <c r="X49" s="133"/>
      <c r="Y49" s="133"/>
      <c r="Z49" s="133"/>
      <c r="AA49" s="133"/>
      <c r="AB49" s="133"/>
      <c r="AC49" s="133"/>
      <c r="AD49" s="133"/>
      <c r="AE49" s="133"/>
      <c r="AF49" s="133"/>
      <c r="AG49" s="133"/>
      <c r="AH49" s="133"/>
      <c r="AI49" s="133"/>
      <c r="AJ49" s="133"/>
      <c r="AK49" s="133"/>
      <c r="AL49" s="133"/>
      <c r="AM49" s="133"/>
      <c r="AN49" s="133"/>
    </row>
    <row r="50">
      <c r="A50" s="262" t="s">
        <v>696</v>
      </c>
      <c r="B50" s="283">
        <f t="shared" ref="B50:AA50" si="17">SUm(B52:B64)</f>
        <v>92</v>
      </c>
      <c r="C50" s="283">
        <f t="shared" si="17"/>
        <v>134</v>
      </c>
      <c r="D50" s="283">
        <f t="shared" si="17"/>
        <v>156</v>
      </c>
      <c r="E50" s="283">
        <f t="shared" si="17"/>
        <v>199</v>
      </c>
      <c r="F50" s="283">
        <f t="shared" si="17"/>
        <v>198</v>
      </c>
      <c r="G50" s="283">
        <f t="shared" si="17"/>
        <v>185</v>
      </c>
      <c r="H50" s="283">
        <f t="shared" si="17"/>
        <v>137</v>
      </c>
      <c r="I50" s="283">
        <f t="shared" si="17"/>
        <v>177</v>
      </c>
      <c r="J50" s="283">
        <f t="shared" si="17"/>
        <v>131</v>
      </c>
      <c r="K50" s="283">
        <f t="shared" si="17"/>
        <v>178</v>
      </c>
      <c r="L50" s="283">
        <f t="shared" si="17"/>
        <v>190</v>
      </c>
      <c r="M50" s="283">
        <f t="shared" si="17"/>
        <v>181</v>
      </c>
      <c r="N50" s="283">
        <f t="shared" si="17"/>
        <v>181</v>
      </c>
      <c r="O50" s="283">
        <f t="shared" si="17"/>
        <v>83</v>
      </c>
      <c r="P50" s="283">
        <f t="shared" si="17"/>
        <v>151</v>
      </c>
      <c r="Q50" s="283">
        <f t="shared" si="17"/>
        <v>125</v>
      </c>
      <c r="R50" s="283">
        <f t="shared" si="17"/>
        <v>125</v>
      </c>
      <c r="S50" s="283">
        <f t="shared" si="17"/>
        <v>130</v>
      </c>
      <c r="T50" s="452">
        <f t="shared" si="17"/>
        <v>104</v>
      </c>
      <c r="U50" s="283">
        <f t="shared" si="17"/>
        <v>0</v>
      </c>
      <c r="V50" s="283">
        <f t="shared" si="17"/>
        <v>0</v>
      </c>
      <c r="W50" s="283">
        <f t="shared" si="17"/>
        <v>0</v>
      </c>
      <c r="X50" s="283">
        <f t="shared" si="17"/>
        <v>0</v>
      </c>
      <c r="Y50" s="283">
        <f t="shared" si="17"/>
        <v>0</v>
      </c>
      <c r="Z50" s="283">
        <f t="shared" si="17"/>
        <v>0</v>
      </c>
      <c r="AA50" s="283">
        <f t="shared" si="17"/>
        <v>0</v>
      </c>
      <c r="AB50" s="283"/>
      <c r="AC50" s="283"/>
      <c r="AD50" s="283"/>
      <c r="AE50" s="283"/>
      <c r="AF50" s="283"/>
      <c r="AG50" s="283"/>
      <c r="AH50" s="283"/>
      <c r="AI50" s="283"/>
      <c r="AJ50" s="283"/>
      <c r="AK50" s="283"/>
      <c r="AL50" s="283"/>
      <c r="AM50" s="283"/>
      <c r="AN50" s="283"/>
    </row>
    <row r="51">
      <c r="A51" s="126" t="s">
        <v>46</v>
      </c>
      <c r="B51" s="283">
        <f t="shared" ref="B51:C51" si="18">B52+B55+B57+B58+B63+B49</f>
        <v>89</v>
      </c>
      <c r="C51" s="283">
        <f t="shared" si="18"/>
        <v>113</v>
      </c>
      <c r="D51" s="283">
        <f t="shared" ref="D51:H51" si="19">D55+D60+D61</f>
        <v>140</v>
      </c>
      <c r="E51" s="283">
        <f t="shared" si="19"/>
        <v>143</v>
      </c>
      <c r="F51" s="283">
        <f t="shared" si="19"/>
        <v>159</v>
      </c>
      <c r="G51" s="283">
        <f t="shared" si="19"/>
        <v>154</v>
      </c>
      <c r="H51" s="283">
        <f t="shared" si="19"/>
        <v>114</v>
      </c>
      <c r="I51" s="283">
        <f t="shared" ref="I51:AA51" si="20">I52+I55+I58+I60+I61</f>
        <v>157</v>
      </c>
      <c r="J51" s="283">
        <f t="shared" si="20"/>
        <v>120</v>
      </c>
      <c r="K51" s="283">
        <f t="shared" si="20"/>
        <v>163</v>
      </c>
      <c r="L51" s="283">
        <f t="shared" si="20"/>
        <v>175</v>
      </c>
      <c r="M51" s="283">
        <f t="shared" si="20"/>
        <v>150</v>
      </c>
      <c r="N51" s="283">
        <f t="shared" si="20"/>
        <v>154</v>
      </c>
      <c r="O51" s="283">
        <f t="shared" si="20"/>
        <v>67</v>
      </c>
      <c r="P51" s="283">
        <f t="shared" si="20"/>
        <v>141</v>
      </c>
      <c r="Q51" s="283">
        <f t="shared" si="20"/>
        <v>117</v>
      </c>
      <c r="R51" s="283">
        <f t="shared" si="20"/>
        <v>97</v>
      </c>
      <c r="S51" s="283">
        <f t="shared" si="20"/>
        <v>102</v>
      </c>
      <c r="T51" s="452">
        <f t="shared" si="20"/>
        <v>81</v>
      </c>
      <c r="U51" s="283">
        <f t="shared" si="20"/>
        <v>0</v>
      </c>
      <c r="V51" s="283">
        <f t="shared" si="20"/>
        <v>0</v>
      </c>
      <c r="W51" s="283">
        <f t="shared" si="20"/>
        <v>0</v>
      </c>
      <c r="X51" s="283">
        <f t="shared" si="20"/>
        <v>0</v>
      </c>
      <c r="Y51" s="283">
        <f t="shared" si="20"/>
        <v>0</v>
      </c>
      <c r="Z51" s="283">
        <f t="shared" si="20"/>
        <v>0</v>
      </c>
      <c r="AA51" s="283">
        <f t="shared" si="20"/>
        <v>0</v>
      </c>
      <c r="AB51" s="283"/>
      <c r="AC51" s="283"/>
      <c r="AD51" s="283"/>
      <c r="AE51" s="283"/>
      <c r="AF51" s="283"/>
      <c r="AG51" s="283"/>
      <c r="AH51" s="283"/>
      <c r="AI51" s="283"/>
      <c r="AJ51" s="283"/>
      <c r="AK51" s="283"/>
      <c r="AL51" s="283"/>
      <c r="AM51" s="283"/>
      <c r="AN51" s="283"/>
    </row>
    <row r="52">
      <c r="A52" s="131" t="s">
        <v>685</v>
      </c>
      <c r="B52" s="132">
        <v>0.0</v>
      </c>
      <c r="C52" s="133">
        <v>29.0</v>
      </c>
      <c r="D52" s="133"/>
      <c r="E52" s="133"/>
      <c r="F52" s="133"/>
      <c r="G52" s="133"/>
      <c r="H52" s="133"/>
      <c r="I52" s="133">
        <v>46.0</v>
      </c>
      <c r="J52" s="133">
        <v>37.0</v>
      </c>
      <c r="K52" s="133">
        <v>40.0</v>
      </c>
      <c r="L52" s="133">
        <v>46.0</v>
      </c>
      <c r="M52" s="133">
        <v>29.0</v>
      </c>
      <c r="N52" s="133">
        <v>34.0</v>
      </c>
      <c r="O52" s="133">
        <v>26.0</v>
      </c>
      <c r="P52" s="133">
        <v>49.0</v>
      </c>
      <c r="Q52" s="133">
        <v>31.0</v>
      </c>
      <c r="R52" s="133">
        <v>44.0</v>
      </c>
      <c r="S52" s="133">
        <v>34.0</v>
      </c>
      <c r="T52" s="288">
        <v>38.0</v>
      </c>
      <c r="U52" s="133"/>
      <c r="V52" s="133"/>
      <c r="W52" s="133"/>
      <c r="X52" s="133"/>
      <c r="Y52" s="133"/>
      <c r="Z52" s="133"/>
      <c r="AA52" s="133"/>
      <c r="AB52" s="133"/>
      <c r="AC52" s="133"/>
      <c r="AD52" s="133"/>
      <c r="AE52" s="133"/>
      <c r="AF52" s="133"/>
      <c r="AG52" s="133"/>
      <c r="AH52" s="133"/>
      <c r="AI52" s="133"/>
      <c r="AJ52" s="133"/>
      <c r="AK52" s="133"/>
      <c r="AL52" s="133"/>
      <c r="AM52" s="133"/>
      <c r="AN52" s="133"/>
    </row>
    <row r="53">
      <c r="A53" s="131" t="s">
        <v>686</v>
      </c>
      <c r="B53" s="132"/>
      <c r="C53" s="133"/>
      <c r="D53" s="133"/>
      <c r="E53" s="133"/>
      <c r="F53" s="133"/>
      <c r="G53" s="133"/>
      <c r="H53" s="133"/>
      <c r="I53" s="133"/>
      <c r="J53" s="133"/>
      <c r="K53" s="133"/>
      <c r="L53" s="133"/>
      <c r="M53" s="133">
        <v>8.0</v>
      </c>
      <c r="N53" s="133">
        <v>2.0</v>
      </c>
      <c r="O53" s="133">
        <v>7.0</v>
      </c>
      <c r="P53" s="133">
        <v>0.0</v>
      </c>
      <c r="Q53" s="133">
        <v>0.0</v>
      </c>
      <c r="R53" s="133">
        <v>10.0</v>
      </c>
      <c r="S53" s="133">
        <v>12.0</v>
      </c>
      <c r="T53" s="288">
        <v>5.0</v>
      </c>
      <c r="U53" s="133"/>
      <c r="V53" s="133"/>
      <c r="W53" s="133"/>
      <c r="X53" s="133"/>
      <c r="Y53" s="133"/>
      <c r="Z53" s="133"/>
      <c r="AA53" s="133"/>
      <c r="AB53" s="133"/>
      <c r="AC53" s="133"/>
      <c r="AD53" s="133"/>
      <c r="AE53" s="133"/>
      <c r="AF53" s="133"/>
      <c r="AG53" s="133"/>
      <c r="AH53" s="133"/>
      <c r="AI53" s="133"/>
      <c r="AJ53" s="133"/>
      <c r="AK53" s="133"/>
      <c r="AL53" s="133"/>
      <c r="AM53" s="133"/>
      <c r="AN53" s="133"/>
    </row>
    <row r="54">
      <c r="A54" s="131" t="s">
        <v>687</v>
      </c>
      <c r="B54" s="132">
        <v>0.0</v>
      </c>
      <c r="C54" s="133">
        <v>8.0</v>
      </c>
      <c r="D54" s="133">
        <v>16.0</v>
      </c>
      <c r="E54" s="133">
        <v>27.0</v>
      </c>
      <c r="F54" s="133">
        <v>5.0</v>
      </c>
      <c r="G54" s="133">
        <v>18.0</v>
      </c>
      <c r="H54" s="133">
        <v>18.0</v>
      </c>
      <c r="I54" s="133">
        <v>3.0</v>
      </c>
      <c r="J54" s="133">
        <v>0.0</v>
      </c>
      <c r="K54" s="133">
        <v>5.0</v>
      </c>
      <c r="L54" s="133">
        <v>3.0</v>
      </c>
      <c r="M54" s="133">
        <v>0.0</v>
      </c>
      <c r="N54" s="133">
        <v>4.0</v>
      </c>
      <c r="O54" s="133">
        <v>4.0</v>
      </c>
      <c r="P54" s="133">
        <v>5.0</v>
      </c>
      <c r="Q54" s="133">
        <v>3.0</v>
      </c>
      <c r="R54" s="133">
        <v>10.0</v>
      </c>
      <c r="S54" s="133">
        <v>8.0</v>
      </c>
      <c r="T54" s="288"/>
      <c r="U54" s="133"/>
      <c r="V54" s="133"/>
      <c r="W54" s="133"/>
      <c r="X54" s="133"/>
      <c r="Y54" s="133"/>
      <c r="Z54" s="133"/>
      <c r="AA54" s="133"/>
      <c r="AB54" s="133"/>
      <c r="AC54" s="133"/>
      <c r="AD54" s="133"/>
      <c r="AE54" s="133"/>
      <c r="AF54" s="133"/>
      <c r="AG54" s="133"/>
      <c r="AH54" s="133"/>
      <c r="AI54" s="133"/>
      <c r="AJ54" s="133"/>
      <c r="AK54" s="133"/>
      <c r="AL54" s="133"/>
      <c r="AM54" s="133"/>
      <c r="AN54" s="133"/>
    </row>
    <row r="55">
      <c r="A55" s="131" t="s">
        <v>688</v>
      </c>
      <c r="B55" s="132">
        <v>24.0</v>
      </c>
      <c r="C55" s="133">
        <v>34.0</v>
      </c>
      <c r="D55" s="133">
        <v>45.0</v>
      </c>
      <c r="E55" s="133">
        <v>40.0</v>
      </c>
      <c r="F55" s="133">
        <v>63.0</v>
      </c>
      <c r="G55" s="133">
        <v>60.0</v>
      </c>
      <c r="H55" s="133">
        <v>26.0</v>
      </c>
      <c r="I55" s="133">
        <v>34.0</v>
      </c>
      <c r="J55" s="133">
        <v>5.0</v>
      </c>
      <c r="K55" s="133">
        <v>37.0</v>
      </c>
      <c r="L55" s="133">
        <v>44.0</v>
      </c>
      <c r="M55" s="133">
        <v>38.0</v>
      </c>
      <c r="N55" s="133">
        <v>34.0</v>
      </c>
      <c r="O55" s="133">
        <v>28.0</v>
      </c>
      <c r="P55" s="133">
        <v>47.0</v>
      </c>
      <c r="Q55" s="133">
        <v>26.0</v>
      </c>
      <c r="R55" s="133">
        <v>15.0</v>
      </c>
      <c r="S55" s="133">
        <v>26.0</v>
      </c>
      <c r="T55" s="288">
        <v>24.0</v>
      </c>
      <c r="U55" s="133"/>
      <c r="V55" s="133"/>
      <c r="W55" s="133"/>
      <c r="X55" s="133"/>
      <c r="Y55" s="133"/>
      <c r="Z55" s="133"/>
      <c r="AA55" s="133"/>
      <c r="AB55" s="133"/>
      <c r="AC55" s="133"/>
      <c r="AD55" s="133"/>
      <c r="AE55" s="133"/>
      <c r="AF55" s="133"/>
      <c r="AG55" s="133"/>
      <c r="AH55" s="133"/>
      <c r="AI55" s="133"/>
      <c r="AJ55" s="133"/>
      <c r="AK55" s="133"/>
      <c r="AL55" s="133"/>
      <c r="AM55" s="133"/>
      <c r="AN55" s="133"/>
    </row>
    <row r="56" hidden="1">
      <c r="A56" s="131" t="s">
        <v>689</v>
      </c>
      <c r="B56" s="132">
        <v>0.0</v>
      </c>
      <c r="C56" s="133">
        <v>0.0</v>
      </c>
      <c r="D56" s="133"/>
      <c r="E56" s="133"/>
      <c r="F56" s="133"/>
      <c r="G56" s="133"/>
      <c r="H56" s="133"/>
      <c r="I56" s="133"/>
      <c r="J56" s="133"/>
      <c r="K56" s="133"/>
      <c r="L56" s="133"/>
      <c r="M56" s="133"/>
      <c r="N56" s="133"/>
      <c r="O56" s="133"/>
      <c r="P56" s="133"/>
      <c r="Q56" s="133"/>
      <c r="R56" s="133"/>
      <c r="S56" s="133"/>
      <c r="T56" s="288"/>
      <c r="U56" s="133"/>
      <c r="V56" s="133"/>
      <c r="W56" s="133"/>
      <c r="X56" s="133"/>
      <c r="Y56" s="133"/>
      <c r="Z56" s="133"/>
      <c r="AA56" s="133"/>
      <c r="AB56" s="133"/>
      <c r="AC56" s="133"/>
      <c r="AD56" s="133"/>
      <c r="AE56" s="133"/>
      <c r="AF56" s="133"/>
      <c r="AG56" s="133"/>
      <c r="AH56" s="133"/>
      <c r="AI56" s="133"/>
      <c r="AJ56" s="133"/>
      <c r="AK56" s="133"/>
      <c r="AL56" s="133"/>
      <c r="AM56" s="133"/>
      <c r="AN56" s="133"/>
    </row>
    <row r="57" hidden="1">
      <c r="A57" s="131" t="s">
        <v>690</v>
      </c>
      <c r="B57" s="132">
        <v>7.0</v>
      </c>
      <c r="C57" s="133"/>
      <c r="D57" s="133"/>
      <c r="E57" s="133"/>
      <c r="F57" s="133"/>
      <c r="G57" s="133"/>
      <c r="H57" s="133"/>
      <c r="I57" s="133"/>
      <c r="J57" s="133"/>
      <c r="K57" s="133"/>
      <c r="L57" s="133"/>
      <c r="M57" s="133"/>
      <c r="N57" s="133"/>
      <c r="O57" s="133"/>
      <c r="P57" s="133"/>
      <c r="Q57" s="133"/>
      <c r="R57" s="133"/>
      <c r="S57" s="133"/>
      <c r="T57" s="288"/>
      <c r="U57" s="133"/>
      <c r="V57" s="133"/>
      <c r="W57" s="133"/>
      <c r="X57" s="133"/>
      <c r="Y57" s="133"/>
      <c r="Z57" s="133"/>
      <c r="AA57" s="133"/>
      <c r="AB57" s="133"/>
      <c r="AC57" s="133"/>
      <c r="AD57" s="133"/>
      <c r="AE57" s="133"/>
      <c r="AF57" s="133"/>
      <c r="AG57" s="133"/>
      <c r="AH57" s="133"/>
      <c r="AI57" s="133"/>
      <c r="AJ57" s="133"/>
      <c r="AK57" s="133"/>
      <c r="AL57" s="133"/>
      <c r="AM57" s="133"/>
      <c r="AN57" s="133"/>
    </row>
    <row r="58" hidden="1">
      <c r="A58" s="131" t="s">
        <v>691</v>
      </c>
      <c r="B58" s="132">
        <v>37.0</v>
      </c>
      <c r="C58" s="133">
        <v>21.0</v>
      </c>
      <c r="D58" s="133"/>
      <c r="E58" s="133"/>
      <c r="F58" s="133"/>
      <c r="G58" s="133"/>
      <c r="H58" s="133"/>
      <c r="I58" s="133">
        <v>8.0</v>
      </c>
      <c r="J58" s="133">
        <v>8.0</v>
      </c>
      <c r="K58" s="133">
        <v>34.0</v>
      </c>
      <c r="L58" s="133">
        <v>43.0</v>
      </c>
      <c r="M58" s="133">
        <v>33.0</v>
      </c>
      <c r="N58" s="133">
        <v>32.0</v>
      </c>
      <c r="O58" s="133">
        <v>13.0</v>
      </c>
      <c r="P58" s="133">
        <v>6.0</v>
      </c>
      <c r="Q58" s="133">
        <v>25.0</v>
      </c>
      <c r="R58" s="133"/>
      <c r="S58" s="133"/>
      <c r="T58" s="288"/>
      <c r="U58" s="133"/>
      <c r="V58" s="133"/>
      <c r="W58" s="133"/>
      <c r="X58" s="133"/>
      <c r="Y58" s="133"/>
      <c r="Z58" s="133"/>
      <c r="AA58" s="133"/>
      <c r="AB58" s="133"/>
      <c r="AC58" s="133"/>
      <c r="AD58" s="133"/>
      <c r="AE58" s="133"/>
      <c r="AF58" s="133"/>
      <c r="AG58" s="133"/>
      <c r="AH58" s="133"/>
      <c r="AI58" s="133"/>
      <c r="AJ58" s="133"/>
      <c r="AK58" s="133"/>
      <c r="AL58" s="133"/>
      <c r="AM58" s="133"/>
      <c r="AN58" s="133"/>
    </row>
    <row r="59" hidden="1">
      <c r="A59" s="131" t="s">
        <v>692</v>
      </c>
      <c r="B59" s="132">
        <v>0.0</v>
      </c>
      <c r="C59" s="133">
        <v>0.0</v>
      </c>
      <c r="D59" s="133"/>
      <c r="E59" s="133"/>
      <c r="F59" s="133"/>
      <c r="G59" s="133"/>
      <c r="H59" s="133"/>
      <c r="I59" s="133"/>
      <c r="J59" s="133"/>
      <c r="K59" s="133"/>
      <c r="L59" s="133"/>
      <c r="M59" s="133"/>
      <c r="N59" s="133"/>
      <c r="O59" s="133"/>
      <c r="P59" s="133"/>
      <c r="Q59" s="133"/>
      <c r="R59" s="133"/>
      <c r="S59" s="133"/>
      <c r="T59" s="288"/>
      <c r="U59" s="133"/>
      <c r="V59" s="133"/>
      <c r="W59" s="133"/>
      <c r="X59" s="133"/>
      <c r="Y59" s="133"/>
      <c r="Z59" s="133"/>
      <c r="AA59" s="133"/>
      <c r="AB59" s="133"/>
      <c r="AC59" s="133"/>
      <c r="AD59" s="133"/>
      <c r="AE59" s="133"/>
      <c r="AF59" s="133"/>
      <c r="AG59" s="133"/>
      <c r="AH59" s="133"/>
      <c r="AI59" s="133"/>
      <c r="AJ59" s="133"/>
      <c r="AK59" s="133"/>
      <c r="AL59" s="133"/>
      <c r="AM59" s="133"/>
      <c r="AN59" s="133"/>
    </row>
    <row r="60">
      <c r="A60" s="131" t="s">
        <v>292</v>
      </c>
      <c r="B60" s="132"/>
      <c r="C60" s="133"/>
      <c r="D60" s="133">
        <v>53.0</v>
      </c>
      <c r="E60" s="133">
        <v>51.0</v>
      </c>
      <c r="F60" s="133">
        <v>46.0</v>
      </c>
      <c r="G60" s="133">
        <v>44.0</v>
      </c>
      <c r="H60" s="133">
        <v>48.0</v>
      </c>
      <c r="I60" s="133">
        <v>23.0</v>
      </c>
      <c r="J60" s="133">
        <v>24.0</v>
      </c>
      <c r="K60" s="133">
        <v>52.0</v>
      </c>
      <c r="L60" s="133">
        <v>42.0</v>
      </c>
      <c r="M60" s="133">
        <v>50.0</v>
      </c>
      <c r="N60" s="133">
        <v>54.0</v>
      </c>
      <c r="O60" s="130"/>
      <c r="P60" s="133">
        <v>39.0</v>
      </c>
      <c r="Q60" s="133">
        <v>35.0</v>
      </c>
      <c r="R60" s="133">
        <v>38.0</v>
      </c>
      <c r="S60" s="133">
        <v>42.0</v>
      </c>
      <c r="T60" s="288">
        <v>19.0</v>
      </c>
      <c r="U60" s="130"/>
      <c r="V60" s="130"/>
      <c r="W60" s="130"/>
      <c r="X60" s="130"/>
      <c r="Y60" s="130"/>
      <c r="Z60" s="130"/>
      <c r="AA60" s="130"/>
      <c r="AB60" s="130"/>
      <c r="AC60" s="130"/>
      <c r="AD60" s="130"/>
      <c r="AE60" s="130"/>
      <c r="AF60" s="130"/>
      <c r="AG60" s="130"/>
      <c r="AH60" s="130"/>
      <c r="AI60" s="130"/>
      <c r="AJ60" s="130"/>
      <c r="AK60" s="130"/>
      <c r="AL60" s="130"/>
      <c r="AM60" s="130"/>
      <c r="AN60" s="130"/>
    </row>
    <row r="61" hidden="1">
      <c r="A61" s="131" t="s">
        <v>693</v>
      </c>
      <c r="B61" s="132"/>
      <c r="C61" s="133"/>
      <c r="D61" s="133">
        <v>42.0</v>
      </c>
      <c r="E61" s="133">
        <v>52.0</v>
      </c>
      <c r="F61" s="133">
        <v>50.0</v>
      </c>
      <c r="G61" s="133">
        <v>50.0</v>
      </c>
      <c r="H61" s="133">
        <v>40.0</v>
      </c>
      <c r="I61" s="133">
        <v>46.0</v>
      </c>
      <c r="J61" s="133">
        <v>46.0</v>
      </c>
      <c r="K61" s="133"/>
      <c r="L61" s="130"/>
      <c r="M61" s="130"/>
      <c r="N61" s="130"/>
      <c r="O61" s="130"/>
      <c r="P61" s="130"/>
      <c r="Q61" s="130"/>
      <c r="R61" s="130"/>
      <c r="S61" s="130"/>
      <c r="T61" s="455"/>
      <c r="U61" s="130"/>
      <c r="V61" s="130"/>
      <c r="W61" s="130"/>
      <c r="X61" s="130"/>
      <c r="Y61" s="130"/>
      <c r="Z61" s="130"/>
      <c r="AA61" s="130"/>
      <c r="AB61" s="130"/>
      <c r="AC61" s="130"/>
      <c r="AD61" s="130"/>
      <c r="AE61" s="130"/>
      <c r="AF61" s="130"/>
      <c r="AG61" s="130"/>
      <c r="AH61" s="130"/>
      <c r="AI61" s="130"/>
      <c r="AJ61" s="130"/>
      <c r="AK61" s="130"/>
      <c r="AL61" s="130"/>
      <c r="AM61" s="130"/>
      <c r="AN61" s="130"/>
    </row>
    <row r="62">
      <c r="A62" s="131" t="s">
        <v>694</v>
      </c>
      <c r="B62" s="132">
        <v>3.0</v>
      </c>
      <c r="C62" s="133">
        <v>13.0</v>
      </c>
      <c r="D62" s="133">
        <v>0.0</v>
      </c>
      <c r="E62" s="133">
        <v>29.0</v>
      </c>
      <c r="F62" s="133">
        <v>34.0</v>
      </c>
      <c r="G62" s="133">
        <v>13.0</v>
      </c>
      <c r="H62" s="133">
        <v>5.0</v>
      </c>
      <c r="I62" s="133">
        <v>17.0</v>
      </c>
      <c r="J62" s="133">
        <v>11.0</v>
      </c>
      <c r="K62" s="133">
        <v>10.0</v>
      </c>
      <c r="L62" s="133">
        <v>12.0</v>
      </c>
      <c r="M62" s="133">
        <v>23.0</v>
      </c>
      <c r="N62" s="133">
        <v>21.0</v>
      </c>
      <c r="O62" s="133">
        <v>5.0</v>
      </c>
      <c r="P62" s="133">
        <v>5.0</v>
      </c>
      <c r="Q62" s="133">
        <v>5.0</v>
      </c>
      <c r="R62" s="133">
        <v>8.0</v>
      </c>
      <c r="S62" s="133">
        <v>8.0</v>
      </c>
      <c r="T62" s="288">
        <v>18.0</v>
      </c>
      <c r="U62" s="130"/>
      <c r="V62" s="130"/>
      <c r="W62" s="130"/>
      <c r="X62" s="130"/>
      <c r="Y62" s="130"/>
      <c r="Z62" s="130"/>
      <c r="AA62" s="130"/>
      <c r="AB62" s="130"/>
      <c r="AC62" s="130"/>
      <c r="AD62" s="130"/>
      <c r="AE62" s="130"/>
      <c r="AF62" s="130"/>
      <c r="AG62" s="130"/>
      <c r="AH62" s="130"/>
      <c r="AI62" s="130"/>
      <c r="AJ62" s="130"/>
      <c r="AK62" s="130"/>
      <c r="AL62" s="130"/>
      <c r="AM62" s="130"/>
      <c r="AN62" s="130"/>
    </row>
    <row r="63" hidden="1">
      <c r="A63" s="287" t="s">
        <v>695</v>
      </c>
      <c r="B63" s="137">
        <v>21.0</v>
      </c>
      <c r="C63" s="133">
        <v>29.0</v>
      </c>
      <c r="D63" s="133"/>
      <c r="E63" s="130"/>
      <c r="F63" s="133"/>
      <c r="G63" s="133"/>
      <c r="H63" s="133"/>
      <c r="I63" s="133"/>
      <c r="J63" s="133"/>
      <c r="K63" s="133"/>
      <c r="L63" s="133"/>
      <c r="M63" s="133"/>
      <c r="N63" s="133"/>
      <c r="O63" s="133"/>
      <c r="P63" s="130"/>
      <c r="Q63" s="130"/>
      <c r="R63" s="130"/>
      <c r="S63" s="130"/>
      <c r="T63" s="455"/>
      <c r="U63" s="130"/>
      <c r="V63" s="130"/>
      <c r="W63" s="130"/>
      <c r="X63" s="130"/>
      <c r="Y63" s="130"/>
      <c r="Z63" s="130"/>
      <c r="AA63" s="130"/>
      <c r="AB63" s="130"/>
      <c r="AC63" s="130"/>
      <c r="AD63" s="130"/>
      <c r="AE63" s="130"/>
      <c r="AF63" s="130"/>
      <c r="AG63" s="130"/>
      <c r="AH63" s="130"/>
      <c r="AI63" s="130"/>
      <c r="AJ63" s="130"/>
      <c r="AK63" s="130"/>
      <c r="AL63" s="130"/>
      <c r="AM63" s="130"/>
      <c r="AN63" s="130"/>
    </row>
    <row r="64">
      <c r="A64" s="202"/>
      <c r="B64" s="137"/>
      <c r="C64" s="133"/>
      <c r="D64" s="133"/>
      <c r="E64" s="133"/>
      <c r="F64" s="133"/>
      <c r="G64" s="133"/>
      <c r="H64" s="133"/>
      <c r="I64" s="133"/>
      <c r="J64" s="133"/>
      <c r="K64" s="133"/>
      <c r="L64" s="133"/>
      <c r="M64" s="133"/>
      <c r="N64" s="133"/>
      <c r="O64" s="133"/>
      <c r="P64" s="133"/>
      <c r="Q64" s="133"/>
      <c r="R64" s="133"/>
      <c r="S64" s="133"/>
      <c r="T64" s="288"/>
      <c r="U64" s="133"/>
      <c r="V64" s="133"/>
      <c r="W64" s="133"/>
      <c r="X64" s="133"/>
      <c r="Y64" s="133"/>
      <c r="Z64" s="133"/>
      <c r="AA64" s="133"/>
      <c r="AB64" s="133"/>
      <c r="AC64" s="133"/>
      <c r="AD64" s="133"/>
      <c r="AE64" s="133"/>
      <c r="AF64" s="133"/>
      <c r="AG64" s="133"/>
      <c r="AH64" s="133"/>
      <c r="AI64" s="133"/>
      <c r="AJ64" s="133"/>
      <c r="AK64" s="133"/>
      <c r="AL64" s="133"/>
      <c r="AM64" s="133"/>
      <c r="AN64" s="133"/>
    </row>
    <row r="65">
      <c r="A65" s="262" t="s">
        <v>697</v>
      </c>
      <c r="B65" s="283">
        <f t="shared" ref="B65:AA65" si="21">SUM(B67:B79)</f>
        <v>43</v>
      </c>
      <c r="C65" s="283">
        <f t="shared" si="21"/>
        <v>51</v>
      </c>
      <c r="D65" s="283">
        <f t="shared" si="21"/>
        <v>55</v>
      </c>
      <c r="E65" s="283">
        <f t="shared" si="21"/>
        <v>102</v>
      </c>
      <c r="F65" s="283">
        <f t="shared" si="21"/>
        <v>55</v>
      </c>
      <c r="G65" s="283">
        <f t="shared" si="21"/>
        <v>102</v>
      </c>
      <c r="H65" s="283">
        <f t="shared" si="21"/>
        <v>44</v>
      </c>
      <c r="I65" s="283">
        <f t="shared" si="21"/>
        <v>78</v>
      </c>
      <c r="J65" s="283">
        <f t="shared" si="21"/>
        <v>84</v>
      </c>
      <c r="K65" s="283">
        <f t="shared" si="21"/>
        <v>70</v>
      </c>
      <c r="L65" s="283">
        <f t="shared" si="21"/>
        <v>81</v>
      </c>
      <c r="M65" s="283">
        <f t="shared" si="21"/>
        <v>89</v>
      </c>
      <c r="N65" s="283">
        <f t="shared" si="21"/>
        <v>53</v>
      </c>
      <c r="O65" s="283">
        <f t="shared" si="21"/>
        <v>47</v>
      </c>
      <c r="P65" s="283">
        <f t="shared" si="21"/>
        <v>60</v>
      </c>
      <c r="Q65" s="283">
        <f t="shared" si="21"/>
        <v>34</v>
      </c>
      <c r="R65" s="283">
        <f t="shared" si="21"/>
        <v>26</v>
      </c>
      <c r="S65" s="283">
        <f t="shared" si="21"/>
        <v>47</v>
      </c>
      <c r="T65" s="452">
        <f t="shared" si="21"/>
        <v>42</v>
      </c>
      <c r="U65" s="283">
        <f t="shared" si="21"/>
        <v>0</v>
      </c>
      <c r="V65" s="283">
        <f t="shared" si="21"/>
        <v>0</v>
      </c>
      <c r="W65" s="283">
        <f t="shared" si="21"/>
        <v>0</v>
      </c>
      <c r="X65" s="283">
        <f t="shared" si="21"/>
        <v>0</v>
      </c>
      <c r="Y65" s="283">
        <f t="shared" si="21"/>
        <v>0</v>
      </c>
      <c r="Z65" s="283">
        <f t="shared" si="21"/>
        <v>0</v>
      </c>
      <c r="AA65" s="283">
        <f t="shared" si="21"/>
        <v>0</v>
      </c>
      <c r="AB65" s="283"/>
      <c r="AC65" s="283"/>
      <c r="AD65" s="283"/>
      <c r="AE65" s="283"/>
      <c r="AF65" s="283"/>
      <c r="AG65" s="283"/>
      <c r="AH65" s="283"/>
      <c r="AI65" s="283"/>
      <c r="AJ65" s="283"/>
      <c r="AK65" s="283"/>
      <c r="AL65" s="283"/>
      <c r="AM65" s="283"/>
      <c r="AN65" s="283"/>
    </row>
    <row r="66">
      <c r="A66" s="262" t="s">
        <v>223</v>
      </c>
      <c r="B66" s="283">
        <f t="shared" ref="B66:C66" si="22">B67+B70+B72+B73+B78+B64</f>
        <v>43</v>
      </c>
      <c r="C66" s="283">
        <f t="shared" si="22"/>
        <v>44</v>
      </c>
      <c r="D66" s="283">
        <f t="shared" ref="D66:H66" si="23">D70+D75+D76</f>
        <v>55</v>
      </c>
      <c r="E66" s="283">
        <f t="shared" si="23"/>
        <v>102</v>
      </c>
      <c r="F66" s="283">
        <f t="shared" si="23"/>
        <v>55</v>
      </c>
      <c r="G66" s="283">
        <f t="shared" si="23"/>
        <v>102</v>
      </c>
      <c r="H66" s="283">
        <f t="shared" si="23"/>
        <v>44</v>
      </c>
      <c r="I66" s="283">
        <f t="shared" ref="I66:AA66" si="24">I67+I70+I73+I75+I76</f>
        <v>78</v>
      </c>
      <c r="J66" s="283">
        <f t="shared" si="24"/>
        <v>84</v>
      </c>
      <c r="K66" s="283">
        <f t="shared" si="24"/>
        <v>70</v>
      </c>
      <c r="L66" s="283">
        <f t="shared" si="24"/>
        <v>81</v>
      </c>
      <c r="M66" s="283">
        <f t="shared" si="24"/>
        <v>89</v>
      </c>
      <c r="N66" s="283">
        <f t="shared" si="24"/>
        <v>53</v>
      </c>
      <c r="O66" s="283">
        <f t="shared" si="24"/>
        <v>47</v>
      </c>
      <c r="P66" s="283">
        <f t="shared" si="24"/>
        <v>47</v>
      </c>
      <c r="Q66" s="283">
        <f t="shared" si="24"/>
        <v>34</v>
      </c>
      <c r="R66" s="283">
        <f t="shared" si="24"/>
        <v>26</v>
      </c>
      <c r="S66" s="283">
        <f t="shared" si="24"/>
        <v>47</v>
      </c>
      <c r="T66" s="452">
        <f t="shared" si="24"/>
        <v>42</v>
      </c>
      <c r="U66" s="283">
        <f t="shared" si="24"/>
        <v>0</v>
      </c>
      <c r="V66" s="283">
        <f t="shared" si="24"/>
        <v>0</v>
      </c>
      <c r="W66" s="283">
        <f t="shared" si="24"/>
        <v>0</v>
      </c>
      <c r="X66" s="283">
        <f t="shared" si="24"/>
        <v>0</v>
      </c>
      <c r="Y66" s="283">
        <f t="shared" si="24"/>
        <v>0</v>
      </c>
      <c r="Z66" s="283">
        <f t="shared" si="24"/>
        <v>0</v>
      </c>
      <c r="AA66" s="283">
        <f t="shared" si="24"/>
        <v>0</v>
      </c>
      <c r="AB66" s="283"/>
      <c r="AC66" s="283"/>
      <c r="AD66" s="283"/>
      <c r="AE66" s="283"/>
      <c r="AF66" s="283"/>
      <c r="AG66" s="283"/>
      <c r="AH66" s="283"/>
      <c r="AI66" s="283"/>
      <c r="AJ66" s="283"/>
      <c r="AK66" s="283"/>
      <c r="AL66" s="283"/>
      <c r="AM66" s="283"/>
      <c r="AN66" s="283"/>
    </row>
    <row r="67">
      <c r="A67" s="131" t="s">
        <v>685</v>
      </c>
      <c r="B67" s="132"/>
      <c r="C67" s="457">
        <v>5.0</v>
      </c>
      <c r="D67" s="133"/>
      <c r="E67" s="133"/>
      <c r="F67" s="133"/>
      <c r="G67" s="133"/>
      <c r="H67" s="133"/>
      <c r="I67" s="133">
        <v>21.0</v>
      </c>
      <c r="J67" s="133">
        <v>21.0</v>
      </c>
      <c r="K67" s="133">
        <v>31.0</v>
      </c>
      <c r="L67" s="133">
        <v>21.0</v>
      </c>
      <c r="M67" s="133">
        <v>26.0</v>
      </c>
      <c r="N67" s="133">
        <v>5.0</v>
      </c>
      <c r="O67" s="133">
        <v>13.0</v>
      </c>
      <c r="P67" s="133">
        <v>13.0</v>
      </c>
      <c r="Q67" s="133">
        <v>13.0</v>
      </c>
      <c r="R67" s="133">
        <v>21.0</v>
      </c>
      <c r="S67" s="133">
        <v>13.0</v>
      </c>
      <c r="T67" s="288">
        <v>21.0</v>
      </c>
      <c r="U67" s="133"/>
      <c r="V67" s="133"/>
      <c r="W67" s="133"/>
      <c r="X67" s="133"/>
      <c r="Y67" s="133"/>
      <c r="Z67" s="133"/>
      <c r="AA67" s="133"/>
      <c r="AB67" s="133"/>
      <c r="AC67" s="133"/>
      <c r="AD67" s="133"/>
      <c r="AE67" s="133"/>
      <c r="AF67" s="133"/>
      <c r="AG67" s="133"/>
      <c r="AH67" s="133"/>
      <c r="AI67" s="133"/>
      <c r="AJ67" s="133"/>
      <c r="AK67" s="133"/>
      <c r="AL67" s="133"/>
      <c r="AM67" s="133"/>
      <c r="AN67" s="133"/>
    </row>
    <row r="68">
      <c r="A68" s="131" t="s">
        <v>687</v>
      </c>
      <c r="B68" s="132">
        <v>0.0</v>
      </c>
      <c r="C68" s="133">
        <v>0.0</v>
      </c>
      <c r="D68" s="133">
        <v>0.0</v>
      </c>
      <c r="E68" s="133">
        <v>0.0</v>
      </c>
      <c r="F68" s="133">
        <v>0.0</v>
      </c>
      <c r="G68" s="133">
        <v>0.0</v>
      </c>
      <c r="H68" s="133">
        <v>0.0</v>
      </c>
      <c r="I68" s="133">
        <v>0.0</v>
      </c>
      <c r="J68" s="133">
        <v>0.0</v>
      </c>
      <c r="K68" s="133">
        <v>0.0</v>
      </c>
      <c r="L68" s="133">
        <v>0.0</v>
      </c>
      <c r="M68" s="133">
        <v>0.0</v>
      </c>
      <c r="N68" s="133">
        <v>0.0</v>
      </c>
      <c r="O68" s="133">
        <v>0.0</v>
      </c>
      <c r="P68" s="133">
        <v>0.0</v>
      </c>
      <c r="Q68" s="133">
        <v>0.0</v>
      </c>
      <c r="R68" s="133">
        <v>0.0</v>
      </c>
      <c r="S68" s="133">
        <v>0.0</v>
      </c>
      <c r="T68" s="288"/>
      <c r="U68" s="133"/>
      <c r="V68" s="133"/>
      <c r="W68" s="133"/>
      <c r="X68" s="133"/>
      <c r="Y68" s="133"/>
      <c r="Z68" s="133"/>
      <c r="AA68" s="133"/>
      <c r="AB68" s="133"/>
      <c r="AC68" s="133"/>
      <c r="AD68" s="133"/>
      <c r="AE68" s="133"/>
      <c r="AF68" s="133"/>
      <c r="AG68" s="133"/>
      <c r="AH68" s="133"/>
      <c r="AI68" s="133"/>
      <c r="AJ68" s="133"/>
      <c r="AK68" s="133"/>
      <c r="AL68" s="133"/>
      <c r="AM68" s="133"/>
      <c r="AN68" s="133"/>
    </row>
    <row r="69">
      <c r="A69" s="131" t="s">
        <v>686</v>
      </c>
      <c r="B69" s="132"/>
      <c r="C69" s="457"/>
      <c r="D69" s="133"/>
      <c r="E69" s="133"/>
      <c r="F69" s="133"/>
      <c r="G69" s="133"/>
      <c r="H69" s="133"/>
      <c r="I69" s="133"/>
      <c r="J69" s="133"/>
      <c r="K69" s="133"/>
      <c r="L69" s="133">
        <v>0.0</v>
      </c>
      <c r="M69" s="133">
        <v>0.0</v>
      </c>
      <c r="N69" s="133">
        <v>0.0</v>
      </c>
      <c r="O69" s="133">
        <v>0.0</v>
      </c>
      <c r="P69" s="133">
        <v>0.0</v>
      </c>
      <c r="Q69" s="133">
        <v>0.0</v>
      </c>
      <c r="R69" s="133">
        <v>0.0</v>
      </c>
      <c r="S69" s="133">
        <v>0.0</v>
      </c>
      <c r="T69" s="288">
        <v>0.0</v>
      </c>
      <c r="U69" s="133"/>
      <c r="V69" s="133"/>
      <c r="W69" s="133"/>
      <c r="X69" s="133"/>
      <c r="Y69" s="133"/>
      <c r="Z69" s="133"/>
      <c r="AA69" s="133"/>
      <c r="AB69" s="133"/>
      <c r="AC69" s="133"/>
      <c r="AD69" s="133"/>
      <c r="AE69" s="133"/>
      <c r="AF69" s="133"/>
      <c r="AG69" s="133"/>
      <c r="AH69" s="133"/>
      <c r="AI69" s="133"/>
      <c r="AJ69" s="133"/>
      <c r="AK69" s="133"/>
      <c r="AL69" s="133"/>
      <c r="AM69" s="133"/>
      <c r="AN69" s="133"/>
    </row>
    <row r="70">
      <c r="A70" s="131" t="s">
        <v>688</v>
      </c>
      <c r="B70" s="132">
        <v>21.0</v>
      </c>
      <c r="C70" s="457">
        <v>21.0</v>
      </c>
      <c r="D70" s="133">
        <v>21.0</v>
      </c>
      <c r="E70" s="133">
        <v>34.0</v>
      </c>
      <c r="F70" s="133">
        <v>21.0</v>
      </c>
      <c r="G70" s="133">
        <v>34.0</v>
      </c>
      <c r="H70" s="133">
        <v>0.0</v>
      </c>
      <c r="I70" s="133">
        <v>5.0</v>
      </c>
      <c r="J70" s="133">
        <v>8.0</v>
      </c>
      <c r="K70" s="133">
        <v>0.0</v>
      </c>
      <c r="L70" s="133">
        <v>13.0</v>
      </c>
      <c r="M70" s="133">
        <v>16.0</v>
      </c>
      <c r="N70" s="133">
        <v>13.0</v>
      </c>
      <c r="O70" s="133">
        <v>13.0</v>
      </c>
      <c r="P70" s="133">
        <v>13.0</v>
      </c>
      <c r="Q70" s="133">
        <v>13.0</v>
      </c>
      <c r="R70" s="133">
        <v>5.0</v>
      </c>
      <c r="S70" s="133">
        <v>13.0</v>
      </c>
      <c r="T70" s="288">
        <v>13.0</v>
      </c>
      <c r="U70" s="133"/>
      <c r="V70" s="133"/>
      <c r="W70" s="133"/>
      <c r="X70" s="133"/>
      <c r="Y70" s="133"/>
      <c r="Z70" s="133"/>
      <c r="AA70" s="133"/>
      <c r="AB70" s="133"/>
      <c r="AC70" s="133"/>
      <c r="AD70" s="133"/>
      <c r="AE70" s="133"/>
      <c r="AF70" s="133"/>
      <c r="AG70" s="133"/>
      <c r="AH70" s="133"/>
      <c r="AI70" s="133"/>
      <c r="AJ70" s="133"/>
      <c r="AK70" s="133"/>
      <c r="AL70" s="133"/>
      <c r="AM70" s="133"/>
      <c r="AN70" s="133"/>
    </row>
    <row r="71" hidden="1">
      <c r="A71" s="131" t="s">
        <v>689</v>
      </c>
      <c r="B71" s="132">
        <v>0.0</v>
      </c>
      <c r="C71" s="133">
        <v>0.0</v>
      </c>
      <c r="D71" s="133"/>
      <c r="E71" s="133"/>
      <c r="F71" s="133"/>
      <c r="G71" s="133"/>
      <c r="H71" s="133"/>
      <c r="I71" s="133"/>
      <c r="J71" s="133"/>
      <c r="K71" s="133"/>
      <c r="L71" s="133"/>
      <c r="M71" s="133"/>
      <c r="N71" s="133"/>
      <c r="O71" s="133"/>
      <c r="P71" s="133"/>
      <c r="Q71" s="133"/>
      <c r="R71" s="133"/>
      <c r="S71" s="133"/>
      <c r="T71" s="288"/>
      <c r="U71" s="133"/>
      <c r="V71" s="133"/>
      <c r="W71" s="133"/>
      <c r="X71" s="133"/>
      <c r="Y71" s="133"/>
      <c r="Z71" s="133"/>
      <c r="AA71" s="133"/>
      <c r="AB71" s="133"/>
      <c r="AC71" s="133"/>
      <c r="AD71" s="133"/>
      <c r="AE71" s="133"/>
      <c r="AF71" s="133"/>
      <c r="AG71" s="133"/>
      <c r="AH71" s="133"/>
      <c r="AI71" s="133"/>
      <c r="AJ71" s="133"/>
      <c r="AK71" s="133"/>
      <c r="AL71" s="133"/>
      <c r="AM71" s="133"/>
      <c r="AN71" s="133"/>
    </row>
    <row r="72" hidden="1">
      <c r="A72" s="131" t="s">
        <v>690</v>
      </c>
      <c r="B72" s="132">
        <v>8.0</v>
      </c>
      <c r="C72" s="133"/>
      <c r="D72" s="133"/>
      <c r="E72" s="133"/>
      <c r="F72" s="133"/>
      <c r="G72" s="133"/>
      <c r="H72" s="133"/>
      <c r="I72" s="133"/>
      <c r="J72" s="133"/>
      <c r="K72" s="133"/>
      <c r="L72" s="133"/>
      <c r="M72" s="133"/>
      <c r="N72" s="133"/>
      <c r="O72" s="133"/>
      <c r="P72" s="133"/>
      <c r="Q72" s="133"/>
      <c r="R72" s="133"/>
      <c r="S72" s="133"/>
      <c r="T72" s="288"/>
      <c r="U72" s="133"/>
      <c r="V72" s="133"/>
      <c r="W72" s="133"/>
      <c r="X72" s="133"/>
      <c r="Y72" s="133"/>
      <c r="Z72" s="133"/>
      <c r="AA72" s="133"/>
      <c r="AB72" s="133"/>
      <c r="AC72" s="133"/>
      <c r="AD72" s="133"/>
      <c r="AE72" s="133"/>
      <c r="AF72" s="133"/>
      <c r="AG72" s="133"/>
      <c r="AH72" s="133"/>
      <c r="AI72" s="133"/>
      <c r="AJ72" s="133"/>
      <c r="AK72" s="133"/>
      <c r="AL72" s="133"/>
      <c r="AM72" s="133"/>
      <c r="AN72" s="133"/>
    </row>
    <row r="73" hidden="1">
      <c r="A73" s="131" t="s">
        <v>691</v>
      </c>
      <c r="B73" s="132">
        <v>14.0</v>
      </c>
      <c r="C73" s="457">
        <v>5.0</v>
      </c>
      <c r="D73" s="133"/>
      <c r="E73" s="133"/>
      <c r="F73" s="133"/>
      <c r="G73" s="133"/>
      <c r="H73" s="133"/>
      <c r="I73" s="133">
        <v>0.0</v>
      </c>
      <c r="J73" s="133">
        <v>18.0</v>
      </c>
      <c r="K73" s="133">
        <v>5.0</v>
      </c>
      <c r="L73" s="133">
        <v>21.0</v>
      </c>
      <c r="M73" s="133">
        <v>13.0</v>
      </c>
      <c r="N73" s="133">
        <v>13.0</v>
      </c>
      <c r="O73" s="133">
        <v>21.0</v>
      </c>
      <c r="P73" s="133">
        <v>21.0</v>
      </c>
      <c r="Q73" s="133">
        <v>8.0</v>
      </c>
      <c r="R73" s="133"/>
      <c r="S73" s="133"/>
      <c r="T73" s="288"/>
      <c r="U73" s="133"/>
      <c r="V73" s="133"/>
      <c r="W73" s="133"/>
      <c r="X73" s="133"/>
      <c r="Y73" s="133"/>
      <c r="Z73" s="133"/>
      <c r="AA73" s="133"/>
      <c r="AB73" s="133"/>
      <c r="AC73" s="133"/>
      <c r="AD73" s="133"/>
      <c r="AE73" s="133"/>
      <c r="AF73" s="133"/>
      <c r="AG73" s="133"/>
      <c r="AH73" s="133"/>
      <c r="AI73" s="133"/>
      <c r="AJ73" s="133"/>
      <c r="AK73" s="133"/>
      <c r="AL73" s="133"/>
      <c r="AM73" s="133"/>
      <c r="AN73" s="133"/>
    </row>
    <row r="74" hidden="1">
      <c r="A74" s="131" t="s">
        <v>692</v>
      </c>
      <c r="B74" s="132">
        <v>0.0</v>
      </c>
      <c r="C74" s="133">
        <v>0.0</v>
      </c>
      <c r="D74" s="133">
        <v>0.0</v>
      </c>
      <c r="E74" s="133"/>
      <c r="F74" s="133"/>
      <c r="G74" s="133"/>
      <c r="H74" s="133"/>
      <c r="I74" s="133"/>
      <c r="J74" s="133"/>
      <c r="K74" s="133"/>
      <c r="L74" s="133"/>
      <c r="M74" s="133"/>
      <c r="N74" s="133"/>
      <c r="O74" s="133"/>
      <c r="P74" s="133"/>
      <c r="Q74" s="133"/>
      <c r="R74" s="133"/>
      <c r="S74" s="133"/>
      <c r="T74" s="288"/>
      <c r="U74" s="133"/>
      <c r="V74" s="133"/>
      <c r="W74" s="133"/>
      <c r="X74" s="133"/>
      <c r="Y74" s="133"/>
      <c r="Z74" s="133"/>
      <c r="AA74" s="133"/>
      <c r="AB74" s="133"/>
      <c r="AC74" s="133"/>
      <c r="AD74" s="133"/>
      <c r="AE74" s="133"/>
      <c r="AF74" s="133"/>
      <c r="AG74" s="133"/>
      <c r="AH74" s="133"/>
      <c r="AI74" s="133"/>
      <c r="AJ74" s="133"/>
      <c r="AK74" s="133"/>
      <c r="AL74" s="133"/>
      <c r="AM74" s="133"/>
      <c r="AN74" s="133"/>
    </row>
    <row r="75">
      <c r="A75" s="131" t="s">
        <v>292</v>
      </c>
      <c r="B75" s="132"/>
      <c r="C75" s="133"/>
      <c r="D75" s="133">
        <v>21.0</v>
      </c>
      <c r="E75" s="133">
        <v>34.0</v>
      </c>
      <c r="F75" s="133">
        <v>13.0</v>
      </c>
      <c r="G75" s="133">
        <v>34.0</v>
      </c>
      <c r="H75" s="133">
        <v>18.0</v>
      </c>
      <c r="I75" s="133">
        <v>18.0</v>
      </c>
      <c r="J75" s="133">
        <v>19.0</v>
      </c>
      <c r="K75" s="133">
        <v>34.0</v>
      </c>
      <c r="L75" s="133">
        <v>26.0</v>
      </c>
      <c r="M75" s="133">
        <v>34.0</v>
      </c>
      <c r="N75" s="133">
        <v>22.0</v>
      </c>
      <c r="O75" s="130"/>
      <c r="P75" s="133">
        <v>0.0</v>
      </c>
      <c r="Q75" s="133">
        <v>0.0</v>
      </c>
      <c r="R75" s="133">
        <v>0.0</v>
      </c>
      <c r="S75" s="133">
        <v>21.0</v>
      </c>
      <c r="T75" s="288">
        <v>8.0</v>
      </c>
      <c r="U75" s="130"/>
      <c r="V75" s="130"/>
      <c r="W75" s="130"/>
      <c r="X75" s="130"/>
      <c r="Y75" s="130"/>
      <c r="Z75" s="130"/>
      <c r="AA75" s="130"/>
      <c r="AB75" s="130"/>
      <c r="AC75" s="130"/>
      <c r="AD75" s="130"/>
      <c r="AE75" s="130"/>
      <c r="AF75" s="130"/>
      <c r="AG75" s="130"/>
      <c r="AH75" s="130"/>
      <c r="AI75" s="130"/>
      <c r="AJ75" s="130"/>
      <c r="AK75" s="130"/>
      <c r="AL75" s="130"/>
      <c r="AM75" s="130"/>
      <c r="AN75" s="130"/>
    </row>
    <row r="76" hidden="1">
      <c r="A76" s="131" t="s">
        <v>693</v>
      </c>
      <c r="B76" s="132"/>
      <c r="C76" s="133"/>
      <c r="D76" s="133">
        <v>13.0</v>
      </c>
      <c r="E76" s="133">
        <v>34.0</v>
      </c>
      <c r="F76" s="133">
        <v>21.0</v>
      </c>
      <c r="G76" s="133">
        <v>34.0</v>
      </c>
      <c r="H76" s="133">
        <v>26.0</v>
      </c>
      <c r="I76" s="133">
        <v>34.0</v>
      </c>
      <c r="J76" s="133">
        <v>18.0</v>
      </c>
      <c r="K76" s="133">
        <v>0.0</v>
      </c>
      <c r="L76" s="130"/>
      <c r="M76" s="133">
        <v>0.0</v>
      </c>
      <c r="N76" s="130"/>
      <c r="O76" s="130"/>
      <c r="P76" s="130"/>
      <c r="Q76" s="130"/>
      <c r="R76" s="130"/>
      <c r="S76" s="130"/>
      <c r="T76" s="455"/>
      <c r="U76" s="130"/>
      <c r="V76" s="130"/>
      <c r="W76" s="130"/>
      <c r="X76" s="130"/>
      <c r="Y76" s="130"/>
      <c r="Z76" s="130"/>
      <c r="AA76" s="130"/>
      <c r="AB76" s="130"/>
      <c r="AC76" s="130"/>
      <c r="AD76" s="130"/>
      <c r="AE76" s="130"/>
      <c r="AF76" s="130"/>
      <c r="AG76" s="130"/>
      <c r="AH76" s="130"/>
      <c r="AI76" s="130"/>
      <c r="AJ76" s="130"/>
      <c r="AK76" s="130"/>
      <c r="AL76" s="130"/>
      <c r="AM76" s="130"/>
      <c r="AN76" s="130"/>
    </row>
    <row r="77">
      <c r="A77" s="131" t="s">
        <v>694</v>
      </c>
      <c r="B77" s="132">
        <v>0.0</v>
      </c>
      <c r="C77" s="133">
        <v>7.0</v>
      </c>
      <c r="D77" s="133">
        <v>0.0</v>
      </c>
      <c r="E77" s="133">
        <v>0.0</v>
      </c>
      <c r="F77" s="133">
        <v>0.0</v>
      </c>
      <c r="G77" s="133">
        <v>0.0</v>
      </c>
      <c r="H77" s="133">
        <v>0.0</v>
      </c>
      <c r="I77" s="133">
        <v>0.0</v>
      </c>
      <c r="J77" s="133">
        <v>0.0</v>
      </c>
      <c r="K77" s="133">
        <v>0.0</v>
      </c>
      <c r="L77" s="133">
        <v>0.0</v>
      </c>
      <c r="M77" s="133">
        <v>0.0</v>
      </c>
      <c r="N77" s="133">
        <v>0.0</v>
      </c>
      <c r="O77" s="133">
        <v>0.0</v>
      </c>
      <c r="P77" s="133">
        <v>13.0</v>
      </c>
      <c r="Q77" s="133">
        <v>0.0</v>
      </c>
      <c r="R77" s="133">
        <v>0.0</v>
      </c>
      <c r="S77" s="133">
        <v>0.0</v>
      </c>
      <c r="T77" s="288">
        <v>0.0</v>
      </c>
      <c r="U77" s="130"/>
      <c r="V77" s="130"/>
      <c r="W77" s="130"/>
      <c r="X77" s="130"/>
      <c r="Y77" s="130"/>
      <c r="Z77" s="130"/>
      <c r="AA77" s="130"/>
      <c r="AB77" s="130"/>
      <c r="AC77" s="130"/>
      <c r="AD77" s="130"/>
      <c r="AE77" s="130"/>
      <c r="AF77" s="130"/>
      <c r="AG77" s="130"/>
      <c r="AH77" s="130"/>
      <c r="AI77" s="130"/>
      <c r="AJ77" s="130"/>
      <c r="AK77" s="130"/>
      <c r="AL77" s="130"/>
      <c r="AM77" s="130"/>
      <c r="AN77" s="130"/>
    </row>
    <row r="78" hidden="1">
      <c r="A78" s="287" t="s">
        <v>695</v>
      </c>
      <c r="B78" s="137">
        <v>0.0</v>
      </c>
      <c r="C78" s="133">
        <v>13.0</v>
      </c>
      <c r="D78" s="133"/>
      <c r="E78" s="130"/>
      <c r="F78" s="133"/>
      <c r="G78" s="133"/>
      <c r="H78" s="133"/>
      <c r="I78" s="133"/>
      <c r="J78" s="133"/>
      <c r="K78" s="133"/>
      <c r="L78" s="133"/>
      <c r="M78" s="133"/>
      <c r="N78" s="133"/>
      <c r="O78" s="133"/>
      <c r="P78" s="130"/>
      <c r="Q78" s="130"/>
      <c r="R78" s="130"/>
      <c r="S78" s="130"/>
      <c r="T78" s="455"/>
      <c r="U78" s="130"/>
      <c r="V78" s="130"/>
      <c r="W78" s="130"/>
      <c r="X78" s="130"/>
      <c r="Y78" s="130"/>
      <c r="Z78" s="130"/>
      <c r="AA78" s="130"/>
      <c r="AB78" s="130"/>
      <c r="AC78" s="130"/>
      <c r="AD78" s="130"/>
      <c r="AE78" s="130"/>
      <c r="AF78" s="130"/>
      <c r="AG78" s="130"/>
      <c r="AH78" s="130"/>
      <c r="AI78" s="130"/>
      <c r="AJ78" s="130"/>
      <c r="AK78" s="130"/>
      <c r="AL78" s="130"/>
      <c r="AM78" s="130"/>
      <c r="AN78" s="130"/>
    </row>
    <row r="79">
      <c r="A79" s="202"/>
      <c r="B79" s="137"/>
      <c r="C79" s="133"/>
      <c r="D79" s="133"/>
      <c r="E79" s="133"/>
      <c r="F79" s="133"/>
      <c r="G79" s="133"/>
      <c r="H79" s="133"/>
      <c r="I79" s="133"/>
      <c r="J79" s="133"/>
      <c r="K79" s="133"/>
      <c r="L79" s="133"/>
      <c r="M79" s="133"/>
      <c r="N79" s="133"/>
      <c r="O79" s="133"/>
      <c r="P79" s="133"/>
      <c r="Q79" s="133"/>
      <c r="R79" s="133"/>
      <c r="S79" s="133"/>
      <c r="T79" s="288"/>
      <c r="U79" s="133"/>
      <c r="V79" s="133"/>
      <c r="W79" s="133"/>
      <c r="X79" s="133"/>
      <c r="Y79" s="133"/>
      <c r="Z79" s="133"/>
      <c r="AA79" s="133"/>
      <c r="AB79" s="133"/>
      <c r="AC79" s="133"/>
      <c r="AD79" s="133"/>
      <c r="AE79" s="133"/>
      <c r="AF79" s="133"/>
      <c r="AG79" s="133"/>
      <c r="AH79" s="133"/>
      <c r="AI79" s="133"/>
      <c r="AJ79" s="133"/>
      <c r="AK79" s="133"/>
      <c r="AL79" s="133"/>
      <c r="AM79" s="133"/>
      <c r="AN79" s="133"/>
    </row>
    <row r="80">
      <c r="A80" s="262" t="s">
        <v>698</v>
      </c>
      <c r="B80" s="283">
        <f t="shared" ref="B80:AA80" si="25">SUM(B82:B94)</f>
        <v>43</v>
      </c>
      <c r="C80" s="283">
        <f t="shared" si="25"/>
        <v>54</v>
      </c>
      <c r="D80" s="283">
        <f t="shared" si="25"/>
        <v>55</v>
      </c>
      <c r="E80" s="283">
        <f t="shared" si="25"/>
        <v>102</v>
      </c>
      <c r="F80" s="283">
        <f t="shared" si="25"/>
        <v>47</v>
      </c>
      <c r="G80" s="283">
        <f t="shared" si="25"/>
        <v>102</v>
      </c>
      <c r="H80" s="283">
        <f t="shared" si="25"/>
        <v>5</v>
      </c>
      <c r="I80" s="283">
        <f t="shared" si="25"/>
        <v>65</v>
      </c>
      <c r="J80" s="283">
        <f t="shared" si="25"/>
        <v>24</v>
      </c>
      <c r="K80" s="283">
        <f t="shared" si="25"/>
        <v>70</v>
      </c>
      <c r="L80" s="283">
        <f t="shared" si="25"/>
        <v>81</v>
      </c>
      <c r="M80" s="283">
        <f t="shared" si="25"/>
        <v>63</v>
      </c>
      <c r="N80" s="283">
        <f t="shared" si="25"/>
        <v>53</v>
      </c>
      <c r="O80" s="283">
        <f t="shared" si="25"/>
        <v>26</v>
      </c>
      <c r="P80" s="283">
        <f t="shared" si="25"/>
        <v>39</v>
      </c>
      <c r="Q80" s="283">
        <f t="shared" si="25"/>
        <v>34</v>
      </c>
      <c r="R80" s="283">
        <f t="shared" si="25"/>
        <v>26</v>
      </c>
      <c r="S80" s="283">
        <f t="shared" si="25"/>
        <v>47</v>
      </c>
      <c r="T80" s="452">
        <f t="shared" si="25"/>
        <v>42</v>
      </c>
      <c r="U80" s="283">
        <f t="shared" si="25"/>
        <v>0</v>
      </c>
      <c r="V80" s="283">
        <f t="shared" si="25"/>
        <v>0</v>
      </c>
      <c r="W80" s="283">
        <f t="shared" si="25"/>
        <v>0</v>
      </c>
      <c r="X80" s="283">
        <f t="shared" si="25"/>
        <v>0</v>
      </c>
      <c r="Y80" s="283">
        <f t="shared" si="25"/>
        <v>0</v>
      </c>
      <c r="Z80" s="283">
        <f t="shared" si="25"/>
        <v>0</v>
      </c>
      <c r="AA80" s="283">
        <f t="shared" si="25"/>
        <v>0</v>
      </c>
      <c r="AB80" s="283"/>
      <c r="AC80" s="283"/>
      <c r="AD80" s="283"/>
      <c r="AE80" s="283"/>
      <c r="AF80" s="283"/>
      <c r="AG80" s="283"/>
      <c r="AH80" s="283"/>
      <c r="AI80" s="283"/>
      <c r="AJ80" s="283"/>
      <c r="AK80" s="283"/>
      <c r="AL80" s="283"/>
      <c r="AM80" s="283"/>
      <c r="AN80" s="283"/>
    </row>
    <row r="81">
      <c r="A81" s="262" t="s">
        <v>224</v>
      </c>
      <c r="B81" s="283">
        <f t="shared" ref="B81:C81" si="26">B82+B85+B87+B88+B93+B79</f>
        <v>43</v>
      </c>
      <c r="C81" s="283">
        <f t="shared" si="26"/>
        <v>39</v>
      </c>
      <c r="D81" s="283">
        <f t="shared" ref="D81:H81" si="27">D85+D90+D91</f>
        <v>55</v>
      </c>
      <c r="E81" s="283">
        <f t="shared" si="27"/>
        <v>102</v>
      </c>
      <c r="F81" s="283">
        <f t="shared" si="27"/>
        <v>47</v>
      </c>
      <c r="G81" s="283">
        <f t="shared" si="27"/>
        <v>102</v>
      </c>
      <c r="H81" s="283">
        <f t="shared" si="27"/>
        <v>5</v>
      </c>
      <c r="I81" s="283">
        <f t="shared" ref="I81:AA81" si="28">I82+I85+I88+I90+I91</f>
        <v>65</v>
      </c>
      <c r="J81" s="283">
        <f t="shared" si="28"/>
        <v>24</v>
      </c>
      <c r="K81" s="283">
        <f t="shared" si="28"/>
        <v>70</v>
      </c>
      <c r="L81" s="283">
        <f t="shared" si="28"/>
        <v>81</v>
      </c>
      <c r="M81" s="283">
        <f t="shared" si="28"/>
        <v>63</v>
      </c>
      <c r="N81" s="283">
        <f t="shared" si="28"/>
        <v>53</v>
      </c>
      <c r="O81" s="283">
        <f t="shared" si="28"/>
        <v>26</v>
      </c>
      <c r="P81" s="283">
        <f t="shared" si="28"/>
        <v>39</v>
      </c>
      <c r="Q81" s="283">
        <f t="shared" si="28"/>
        <v>34</v>
      </c>
      <c r="R81" s="283">
        <f t="shared" si="28"/>
        <v>26</v>
      </c>
      <c r="S81" s="283">
        <f t="shared" si="28"/>
        <v>47</v>
      </c>
      <c r="T81" s="452">
        <f t="shared" si="28"/>
        <v>42</v>
      </c>
      <c r="U81" s="283">
        <f t="shared" si="28"/>
        <v>0</v>
      </c>
      <c r="V81" s="283">
        <f t="shared" si="28"/>
        <v>0</v>
      </c>
      <c r="W81" s="283">
        <f t="shared" si="28"/>
        <v>0</v>
      </c>
      <c r="X81" s="283">
        <f t="shared" si="28"/>
        <v>0</v>
      </c>
      <c r="Y81" s="283">
        <f t="shared" si="28"/>
        <v>0</v>
      </c>
      <c r="Z81" s="283">
        <f t="shared" si="28"/>
        <v>0</v>
      </c>
      <c r="AA81" s="283">
        <f t="shared" si="28"/>
        <v>0</v>
      </c>
      <c r="AB81" s="283"/>
      <c r="AC81" s="283"/>
      <c r="AD81" s="283"/>
      <c r="AE81" s="283"/>
      <c r="AF81" s="283"/>
      <c r="AG81" s="283"/>
      <c r="AH81" s="283"/>
      <c r="AI81" s="283"/>
      <c r="AJ81" s="283"/>
      <c r="AK81" s="283"/>
      <c r="AL81" s="283"/>
      <c r="AM81" s="283"/>
      <c r="AN81" s="283"/>
    </row>
    <row r="82">
      <c r="A82" s="131" t="s">
        <v>685</v>
      </c>
      <c r="B82" s="132"/>
      <c r="C82" s="133">
        <v>5.0</v>
      </c>
      <c r="D82" s="133"/>
      <c r="E82" s="133"/>
      <c r="F82" s="133"/>
      <c r="G82" s="133"/>
      <c r="H82" s="133"/>
      <c r="I82" s="133">
        <v>21.0</v>
      </c>
      <c r="J82" s="133">
        <v>0.0</v>
      </c>
      <c r="K82" s="133">
        <v>31.0</v>
      </c>
      <c r="L82" s="133">
        <v>21.0</v>
      </c>
      <c r="M82" s="133">
        <v>13.0</v>
      </c>
      <c r="N82" s="133">
        <v>5.0</v>
      </c>
      <c r="O82" s="133">
        <v>13.0</v>
      </c>
      <c r="P82" s="133">
        <v>13.0</v>
      </c>
      <c r="Q82" s="133">
        <v>13.0</v>
      </c>
      <c r="R82" s="133">
        <v>21.0</v>
      </c>
      <c r="S82" s="133">
        <v>13.0</v>
      </c>
      <c r="T82" s="288">
        <v>21.0</v>
      </c>
      <c r="U82" s="133"/>
      <c r="V82" s="133"/>
      <c r="W82" s="133"/>
      <c r="X82" s="133"/>
      <c r="Y82" s="133"/>
      <c r="Z82" s="133"/>
      <c r="AA82" s="133"/>
      <c r="AB82" s="133"/>
      <c r="AC82" s="133"/>
      <c r="AD82" s="133"/>
      <c r="AE82" s="133"/>
      <c r="AF82" s="133"/>
      <c r="AG82" s="133"/>
      <c r="AH82" s="133"/>
      <c r="AI82" s="133"/>
      <c r="AJ82" s="133"/>
      <c r="AK82" s="133"/>
      <c r="AL82" s="133"/>
      <c r="AM82" s="133"/>
      <c r="AN82" s="133"/>
    </row>
    <row r="83">
      <c r="A83" s="131" t="s">
        <v>686</v>
      </c>
      <c r="B83" s="132"/>
      <c r="C83" s="133"/>
      <c r="D83" s="133"/>
      <c r="E83" s="133"/>
      <c r="F83" s="133"/>
      <c r="G83" s="133"/>
      <c r="H83" s="133"/>
      <c r="I83" s="133"/>
      <c r="J83" s="133"/>
      <c r="K83" s="133"/>
      <c r="L83" s="133">
        <v>0.0</v>
      </c>
      <c r="M83" s="133">
        <v>0.0</v>
      </c>
      <c r="N83" s="133">
        <v>0.0</v>
      </c>
      <c r="O83" s="133">
        <v>0.0</v>
      </c>
      <c r="P83" s="133">
        <v>0.0</v>
      </c>
      <c r="Q83" s="133">
        <v>0.0</v>
      </c>
      <c r="R83" s="133">
        <v>0.0</v>
      </c>
      <c r="S83" s="133">
        <v>0.0</v>
      </c>
      <c r="T83" s="288"/>
      <c r="U83" s="133"/>
      <c r="V83" s="133"/>
      <c r="W83" s="133"/>
      <c r="X83" s="133"/>
      <c r="Y83" s="133"/>
      <c r="Z83" s="133"/>
      <c r="AA83" s="133"/>
      <c r="AB83" s="133"/>
      <c r="AC83" s="133"/>
      <c r="AD83" s="133"/>
      <c r="AE83" s="133"/>
      <c r="AF83" s="133"/>
      <c r="AG83" s="133"/>
      <c r="AH83" s="133"/>
      <c r="AI83" s="133"/>
      <c r="AJ83" s="133"/>
      <c r="AK83" s="133"/>
      <c r="AL83" s="133"/>
      <c r="AM83" s="133"/>
      <c r="AN83" s="133"/>
    </row>
    <row r="84">
      <c r="A84" s="131" t="s">
        <v>687</v>
      </c>
      <c r="B84" s="132">
        <v>0.0</v>
      </c>
      <c r="C84" s="133">
        <v>8.0</v>
      </c>
      <c r="D84" s="133">
        <v>0.0</v>
      </c>
      <c r="E84" s="133">
        <v>0.0</v>
      </c>
      <c r="F84" s="133"/>
      <c r="G84" s="133">
        <v>0.0</v>
      </c>
      <c r="H84" s="133">
        <v>0.0</v>
      </c>
      <c r="I84" s="133">
        <v>0.0</v>
      </c>
      <c r="J84" s="133">
        <v>0.0</v>
      </c>
      <c r="K84" s="133">
        <v>0.0</v>
      </c>
      <c r="L84" s="133">
        <v>0.0</v>
      </c>
      <c r="M84" s="133">
        <v>0.0</v>
      </c>
      <c r="N84" s="133">
        <v>0.0</v>
      </c>
      <c r="O84" s="133">
        <v>0.0</v>
      </c>
      <c r="P84" s="133">
        <v>0.0</v>
      </c>
      <c r="Q84" s="133">
        <v>0.0</v>
      </c>
      <c r="R84" s="133">
        <v>0.0</v>
      </c>
      <c r="S84" s="133">
        <v>0.0</v>
      </c>
      <c r="T84" s="288">
        <v>0.0</v>
      </c>
      <c r="U84" s="133"/>
      <c r="V84" s="133"/>
      <c r="W84" s="133"/>
      <c r="X84" s="133"/>
      <c r="Y84" s="133"/>
      <c r="Z84" s="133"/>
      <c r="AA84" s="133"/>
      <c r="AB84" s="133"/>
      <c r="AC84" s="133"/>
      <c r="AD84" s="133"/>
      <c r="AE84" s="133"/>
      <c r="AF84" s="133"/>
      <c r="AG84" s="133"/>
      <c r="AH84" s="133"/>
      <c r="AI84" s="133"/>
      <c r="AJ84" s="133"/>
      <c r="AK84" s="133"/>
      <c r="AL84" s="133"/>
      <c r="AM84" s="133"/>
      <c r="AN84" s="133"/>
    </row>
    <row r="85">
      <c r="A85" s="131" t="s">
        <v>688</v>
      </c>
      <c r="B85" s="132">
        <v>21.0</v>
      </c>
      <c r="C85" s="133">
        <v>21.0</v>
      </c>
      <c r="D85" s="133">
        <v>21.0</v>
      </c>
      <c r="E85" s="133">
        <v>34.0</v>
      </c>
      <c r="F85" s="133">
        <v>21.0</v>
      </c>
      <c r="G85" s="133">
        <v>34.0</v>
      </c>
      <c r="H85" s="133">
        <v>0.0</v>
      </c>
      <c r="I85" s="133">
        <v>5.0</v>
      </c>
      <c r="J85" s="133">
        <v>0.0</v>
      </c>
      <c r="K85" s="133">
        <v>0.0</v>
      </c>
      <c r="L85" s="133">
        <v>13.0</v>
      </c>
      <c r="M85" s="133">
        <v>16.0</v>
      </c>
      <c r="N85" s="133">
        <v>13.0</v>
      </c>
      <c r="O85" s="133">
        <v>13.0</v>
      </c>
      <c r="P85" s="133">
        <v>13.0</v>
      </c>
      <c r="Q85" s="133">
        <v>13.0</v>
      </c>
      <c r="R85" s="133">
        <v>5.0</v>
      </c>
      <c r="S85" s="133">
        <v>13.0</v>
      </c>
      <c r="T85" s="288">
        <v>13.0</v>
      </c>
      <c r="U85" s="133"/>
      <c r="V85" s="133"/>
      <c r="W85" s="133"/>
      <c r="X85" s="133"/>
      <c r="Y85" s="133"/>
      <c r="Z85" s="133"/>
      <c r="AA85" s="133"/>
      <c r="AB85" s="133"/>
      <c r="AC85" s="133"/>
      <c r="AD85" s="133"/>
      <c r="AE85" s="133"/>
      <c r="AF85" s="133"/>
      <c r="AG85" s="133"/>
      <c r="AH85" s="133"/>
      <c r="AI85" s="133"/>
      <c r="AJ85" s="133"/>
      <c r="AK85" s="133"/>
      <c r="AL85" s="133"/>
      <c r="AM85" s="133"/>
      <c r="AN85" s="133"/>
    </row>
    <row r="86" hidden="1">
      <c r="A86" s="131" t="s">
        <v>689</v>
      </c>
      <c r="B86" s="132">
        <v>0.0</v>
      </c>
      <c r="C86" s="133">
        <v>0.0</v>
      </c>
      <c r="D86" s="133"/>
      <c r="E86" s="133"/>
      <c r="F86" s="133"/>
      <c r="G86" s="133"/>
      <c r="H86" s="133"/>
      <c r="I86" s="133"/>
      <c r="J86" s="133"/>
      <c r="K86" s="133"/>
      <c r="L86" s="133"/>
      <c r="M86" s="133"/>
      <c r="N86" s="133"/>
      <c r="O86" s="133"/>
      <c r="P86" s="133"/>
      <c r="Q86" s="133"/>
      <c r="R86" s="133"/>
      <c r="S86" s="133"/>
      <c r="T86" s="288"/>
      <c r="U86" s="133"/>
      <c r="V86" s="133"/>
      <c r="W86" s="133"/>
      <c r="X86" s="133"/>
      <c r="Y86" s="133"/>
      <c r="Z86" s="133"/>
      <c r="AA86" s="133"/>
      <c r="AB86" s="133"/>
      <c r="AC86" s="133"/>
      <c r="AD86" s="133"/>
      <c r="AE86" s="133"/>
      <c r="AF86" s="133"/>
      <c r="AG86" s="133"/>
      <c r="AH86" s="133"/>
      <c r="AI86" s="133"/>
      <c r="AJ86" s="133"/>
      <c r="AK86" s="133"/>
      <c r="AL86" s="133"/>
      <c r="AM86" s="133"/>
      <c r="AN86" s="133"/>
    </row>
    <row r="87" hidden="1">
      <c r="A87" s="131" t="s">
        <v>690</v>
      </c>
      <c r="B87" s="132">
        <v>8.0</v>
      </c>
      <c r="C87" s="133"/>
      <c r="D87" s="133"/>
      <c r="E87" s="133"/>
      <c r="F87" s="133"/>
      <c r="G87" s="133"/>
      <c r="H87" s="133"/>
      <c r="I87" s="133"/>
      <c r="J87" s="133"/>
      <c r="K87" s="133"/>
      <c r="L87" s="133"/>
      <c r="M87" s="133"/>
      <c r="N87" s="133"/>
      <c r="O87" s="133"/>
      <c r="P87" s="133"/>
      <c r="Q87" s="133"/>
      <c r="R87" s="133"/>
      <c r="S87" s="133"/>
      <c r="T87" s="288"/>
      <c r="U87" s="133"/>
      <c r="V87" s="133"/>
      <c r="W87" s="133"/>
      <c r="X87" s="133"/>
      <c r="Y87" s="133"/>
      <c r="Z87" s="133"/>
      <c r="AA87" s="133"/>
      <c r="AB87" s="133"/>
      <c r="AC87" s="133"/>
      <c r="AD87" s="133"/>
      <c r="AE87" s="133"/>
      <c r="AF87" s="133"/>
      <c r="AG87" s="133"/>
      <c r="AH87" s="133"/>
      <c r="AI87" s="133"/>
      <c r="AJ87" s="133"/>
      <c r="AK87" s="133"/>
      <c r="AL87" s="133"/>
      <c r="AM87" s="133"/>
      <c r="AN87" s="133"/>
    </row>
    <row r="88" hidden="1">
      <c r="A88" s="131" t="s">
        <v>691</v>
      </c>
      <c r="B88" s="132">
        <v>14.0</v>
      </c>
      <c r="C88" s="133">
        <v>0.0</v>
      </c>
      <c r="D88" s="133"/>
      <c r="E88" s="133"/>
      <c r="F88" s="133"/>
      <c r="G88" s="133"/>
      <c r="H88" s="133"/>
      <c r="I88" s="133">
        <v>0.0</v>
      </c>
      <c r="J88" s="133">
        <v>5.0</v>
      </c>
      <c r="K88" s="133">
        <v>5.0</v>
      </c>
      <c r="L88" s="133">
        <v>21.0</v>
      </c>
      <c r="M88" s="133">
        <v>0.0</v>
      </c>
      <c r="N88" s="133">
        <v>13.0</v>
      </c>
      <c r="O88" s="133">
        <v>0.0</v>
      </c>
      <c r="P88" s="133">
        <v>0.0</v>
      </c>
      <c r="Q88" s="133">
        <v>8.0</v>
      </c>
      <c r="R88" s="133"/>
      <c r="S88" s="133"/>
      <c r="T88" s="288"/>
      <c r="U88" s="133"/>
      <c r="V88" s="133"/>
      <c r="W88" s="133"/>
      <c r="X88" s="133"/>
      <c r="Y88" s="133"/>
      <c r="Z88" s="133"/>
      <c r="AA88" s="133"/>
      <c r="AB88" s="133"/>
      <c r="AC88" s="133"/>
      <c r="AD88" s="133"/>
      <c r="AE88" s="133"/>
      <c r="AF88" s="133"/>
      <c r="AG88" s="133"/>
      <c r="AH88" s="133"/>
      <c r="AI88" s="133"/>
      <c r="AJ88" s="133"/>
      <c r="AK88" s="133"/>
      <c r="AL88" s="133"/>
      <c r="AM88" s="133"/>
      <c r="AN88" s="133"/>
    </row>
    <row r="89" hidden="1">
      <c r="A89" s="131" t="s">
        <v>692</v>
      </c>
      <c r="B89" s="132">
        <v>0.0</v>
      </c>
      <c r="C89" s="133">
        <v>0.0</v>
      </c>
      <c r="D89" s="133">
        <v>0.0</v>
      </c>
      <c r="E89" s="133"/>
      <c r="F89" s="133"/>
      <c r="G89" s="133"/>
      <c r="H89" s="133"/>
      <c r="I89" s="133"/>
      <c r="J89" s="133"/>
      <c r="K89" s="133"/>
      <c r="L89" s="133"/>
      <c r="M89" s="133"/>
      <c r="N89" s="133"/>
      <c r="O89" s="133"/>
      <c r="P89" s="133"/>
      <c r="Q89" s="133"/>
      <c r="R89" s="133"/>
      <c r="S89" s="133"/>
      <c r="T89" s="288"/>
      <c r="U89" s="133"/>
      <c r="V89" s="133"/>
      <c r="W89" s="133"/>
      <c r="X89" s="133"/>
      <c r="Y89" s="133"/>
      <c r="Z89" s="133"/>
      <c r="AA89" s="133"/>
      <c r="AB89" s="133"/>
      <c r="AC89" s="133"/>
      <c r="AD89" s="133"/>
      <c r="AE89" s="133"/>
      <c r="AF89" s="133"/>
      <c r="AG89" s="133"/>
      <c r="AH89" s="133"/>
      <c r="AI89" s="133"/>
      <c r="AJ89" s="133"/>
      <c r="AK89" s="133"/>
      <c r="AL89" s="133"/>
      <c r="AM89" s="133"/>
      <c r="AN89" s="133"/>
    </row>
    <row r="90">
      <c r="A90" s="131" t="s">
        <v>292</v>
      </c>
      <c r="B90" s="132"/>
      <c r="C90" s="133"/>
      <c r="D90" s="133">
        <v>21.0</v>
      </c>
      <c r="E90" s="133">
        <v>34.0</v>
      </c>
      <c r="F90" s="133">
        <v>13.0</v>
      </c>
      <c r="G90" s="133">
        <v>34.0</v>
      </c>
      <c r="H90" s="133">
        <v>5.0</v>
      </c>
      <c r="I90" s="133">
        <v>5.0</v>
      </c>
      <c r="J90" s="133">
        <v>1.0</v>
      </c>
      <c r="K90" s="133">
        <v>34.0</v>
      </c>
      <c r="L90" s="133">
        <v>26.0</v>
      </c>
      <c r="M90" s="133">
        <v>34.0</v>
      </c>
      <c r="N90" s="133">
        <v>22.0</v>
      </c>
      <c r="O90" s="130"/>
      <c r="P90" s="133">
        <v>13.0</v>
      </c>
      <c r="Q90" s="133">
        <v>0.0</v>
      </c>
      <c r="R90" s="133">
        <v>0.0</v>
      </c>
      <c r="S90" s="133">
        <v>21.0</v>
      </c>
      <c r="T90" s="288">
        <v>8.0</v>
      </c>
      <c r="U90" s="130"/>
      <c r="V90" s="130"/>
      <c r="W90" s="130"/>
      <c r="X90" s="130"/>
      <c r="Y90" s="130"/>
      <c r="Z90" s="130"/>
      <c r="AA90" s="130"/>
      <c r="AB90" s="130"/>
      <c r="AC90" s="130"/>
      <c r="AD90" s="130"/>
      <c r="AE90" s="130"/>
      <c r="AF90" s="130"/>
      <c r="AG90" s="130"/>
      <c r="AH90" s="130"/>
      <c r="AI90" s="130"/>
      <c r="AJ90" s="130"/>
      <c r="AK90" s="130"/>
      <c r="AL90" s="130"/>
      <c r="AM90" s="130"/>
      <c r="AN90" s="130"/>
    </row>
    <row r="91" hidden="1">
      <c r="A91" s="131" t="s">
        <v>693</v>
      </c>
      <c r="B91" s="132"/>
      <c r="C91" s="133"/>
      <c r="D91" s="133">
        <v>13.0</v>
      </c>
      <c r="E91" s="133">
        <v>34.0</v>
      </c>
      <c r="F91" s="133">
        <v>13.0</v>
      </c>
      <c r="G91" s="133">
        <v>34.0</v>
      </c>
      <c r="H91" s="133">
        <v>0.0</v>
      </c>
      <c r="I91" s="133">
        <v>34.0</v>
      </c>
      <c r="J91" s="133">
        <v>18.0</v>
      </c>
      <c r="K91" s="133">
        <v>0.0</v>
      </c>
      <c r="L91" s="130"/>
      <c r="M91" s="130"/>
      <c r="N91" s="130"/>
      <c r="O91" s="130"/>
      <c r="P91" s="130"/>
      <c r="Q91" s="130"/>
      <c r="R91" s="130"/>
      <c r="S91" s="130"/>
      <c r="T91" s="455"/>
      <c r="U91" s="130"/>
      <c r="V91" s="130"/>
      <c r="W91" s="130"/>
      <c r="X91" s="130"/>
      <c r="Y91" s="130"/>
      <c r="Z91" s="130"/>
      <c r="AA91" s="130"/>
      <c r="AB91" s="130"/>
      <c r="AC91" s="130"/>
      <c r="AD91" s="130"/>
      <c r="AE91" s="130"/>
      <c r="AF91" s="130"/>
      <c r="AG91" s="130"/>
      <c r="AH91" s="130"/>
      <c r="AI91" s="130"/>
      <c r="AJ91" s="130"/>
      <c r="AK91" s="130"/>
      <c r="AL91" s="130"/>
      <c r="AM91" s="130"/>
      <c r="AN91" s="130"/>
    </row>
    <row r="92">
      <c r="A92" s="131" t="s">
        <v>694</v>
      </c>
      <c r="B92" s="132">
        <v>0.0</v>
      </c>
      <c r="C92" s="133">
        <v>7.0</v>
      </c>
      <c r="D92" s="133">
        <v>0.0</v>
      </c>
      <c r="E92" s="133">
        <v>0.0</v>
      </c>
      <c r="F92" s="133"/>
      <c r="G92" s="133">
        <v>0.0</v>
      </c>
      <c r="H92" s="133">
        <v>0.0</v>
      </c>
      <c r="I92" s="133">
        <v>0.0</v>
      </c>
      <c r="J92" s="133">
        <v>0.0</v>
      </c>
      <c r="K92" s="133">
        <v>0.0</v>
      </c>
      <c r="L92" s="133">
        <v>0.0</v>
      </c>
      <c r="M92" s="133">
        <v>0.0</v>
      </c>
      <c r="N92" s="133">
        <v>0.0</v>
      </c>
      <c r="O92" s="133">
        <v>0.0</v>
      </c>
      <c r="P92" s="133">
        <v>0.0</v>
      </c>
      <c r="Q92" s="133">
        <v>0.0</v>
      </c>
      <c r="R92" s="133">
        <v>0.0</v>
      </c>
      <c r="S92" s="133">
        <v>0.0</v>
      </c>
      <c r="T92" s="288">
        <v>0.0</v>
      </c>
      <c r="U92" s="130"/>
      <c r="V92" s="130"/>
      <c r="W92" s="130"/>
      <c r="X92" s="130"/>
      <c r="Y92" s="130"/>
      <c r="Z92" s="130"/>
      <c r="AA92" s="130"/>
      <c r="AB92" s="130"/>
      <c r="AC92" s="130"/>
      <c r="AD92" s="130"/>
      <c r="AE92" s="130"/>
      <c r="AF92" s="130"/>
      <c r="AG92" s="130"/>
      <c r="AH92" s="130"/>
      <c r="AI92" s="130"/>
      <c r="AJ92" s="130"/>
      <c r="AK92" s="130"/>
      <c r="AL92" s="130"/>
      <c r="AM92" s="130"/>
      <c r="AN92" s="130"/>
    </row>
    <row r="93" hidden="1">
      <c r="A93" s="287" t="s">
        <v>695</v>
      </c>
      <c r="B93" s="137">
        <v>0.0</v>
      </c>
      <c r="C93" s="133">
        <v>13.0</v>
      </c>
      <c r="D93" s="133"/>
      <c r="E93" s="130"/>
      <c r="F93" s="133"/>
      <c r="G93" s="133"/>
      <c r="H93" s="133"/>
      <c r="I93" s="133"/>
      <c r="J93" s="133"/>
      <c r="K93" s="133"/>
      <c r="L93" s="133"/>
      <c r="M93" s="133"/>
      <c r="N93" s="133"/>
      <c r="O93" s="133"/>
      <c r="P93" s="130"/>
      <c r="Q93" s="130"/>
      <c r="R93" s="130"/>
      <c r="S93" s="130"/>
      <c r="T93" s="455"/>
      <c r="U93" s="130"/>
      <c r="V93" s="130"/>
      <c r="W93" s="130"/>
      <c r="X93" s="130"/>
      <c r="Y93" s="130"/>
      <c r="Z93" s="130"/>
      <c r="AA93" s="130"/>
      <c r="AB93" s="130"/>
      <c r="AC93" s="130"/>
      <c r="AD93" s="130"/>
      <c r="AE93" s="130"/>
      <c r="AF93" s="130"/>
      <c r="AG93" s="130"/>
      <c r="AH93" s="130"/>
      <c r="AI93" s="130"/>
      <c r="AJ93" s="130"/>
      <c r="AK93" s="130"/>
      <c r="AL93" s="130"/>
      <c r="AM93" s="130"/>
      <c r="AN93" s="130"/>
    </row>
    <row r="94">
      <c r="A94" s="126" t="s">
        <v>225</v>
      </c>
      <c r="B94" s="410"/>
      <c r="C94" s="403"/>
      <c r="D94" s="403"/>
      <c r="E94" s="403"/>
      <c r="F94" s="403"/>
      <c r="G94" s="403"/>
      <c r="H94" s="403"/>
      <c r="I94" s="403"/>
      <c r="J94" s="403"/>
      <c r="K94" s="403"/>
      <c r="L94" s="403"/>
      <c r="M94" s="403"/>
      <c r="N94" s="403"/>
      <c r="O94" s="403"/>
      <c r="P94" s="403"/>
      <c r="Q94" s="403"/>
      <c r="R94" s="403"/>
      <c r="S94" s="403"/>
      <c r="T94" s="403"/>
      <c r="U94" s="403"/>
      <c r="V94" s="411"/>
      <c r="W94" s="403"/>
      <c r="X94" s="403"/>
      <c r="Y94" s="403"/>
      <c r="Z94" s="403"/>
      <c r="AA94" s="403"/>
      <c r="AB94" s="403"/>
      <c r="AC94" s="403"/>
      <c r="AD94" s="403"/>
      <c r="AE94" s="403"/>
      <c r="AF94" s="403"/>
      <c r="AG94" s="403"/>
      <c r="AH94" s="403"/>
      <c r="AI94" s="403"/>
      <c r="AJ94" s="403"/>
      <c r="AK94" s="403"/>
      <c r="AL94" s="403"/>
      <c r="AM94" s="403"/>
      <c r="AN94" s="403"/>
    </row>
    <row r="95">
      <c r="B95" s="138"/>
      <c r="C95" s="138"/>
      <c r="D95" s="138"/>
      <c r="E95" s="138"/>
      <c r="F95" s="138"/>
      <c r="G95" s="138"/>
      <c r="H95" s="138"/>
      <c r="I95" s="138"/>
      <c r="J95" s="138"/>
      <c r="K95" s="138"/>
      <c r="L95" s="138"/>
      <c r="M95" s="138"/>
      <c r="N95" s="138"/>
      <c r="T95" s="458"/>
    </row>
    <row r="96">
      <c r="B96" s="415"/>
      <c r="C96" s="415"/>
      <c r="D96" s="415"/>
      <c r="E96" s="415"/>
      <c r="F96" s="415"/>
      <c r="G96" s="415"/>
      <c r="H96" s="415"/>
      <c r="I96" s="415"/>
      <c r="J96" s="415"/>
      <c r="K96" s="415"/>
      <c r="L96" s="415"/>
      <c r="M96" s="415"/>
      <c r="N96" s="415"/>
      <c r="T96" s="458"/>
    </row>
    <row r="97">
      <c r="B97" s="138"/>
      <c r="T97" s="458"/>
    </row>
    <row r="98">
      <c r="A98" s="459" t="s">
        <v>699</v>
      </c>
      <c r="B98" s="460" t="str">
        <f t="shared" ref="B98:B100" si="29">B3</f>
        <v>Jan</v>
      </c>
      <c r="D98" s="460" t="str">
        <f>D3</f>
        <v>Feb</v>
      </c>
      <c r="F98" s="460" t="str">
        <f>F3</f>
        <v>March</v>
      </c>
      <c r="H98" s="460" t="str">
        <f>H3</f>
        <v>April</v>
      </c>
      <c r="J98" s="460" t="str">
        <f>J3</f>
        <v>May</v>
      </c>
      <c r="M98" s="460" t="str">
        <f>M3</f>
        <v>June</v>
      </c>
      <c r="O98" s="460" t="str">
        <f>O3</f>
        <v>July </v>
      </c>
      <c r="Q98" s="460" t="str">
        <f>Q3</f>
        <v>Aug</v>
      </c>
      <c r="S98" s="460" t="str">
        <f>S3</f>
        <v>Sep</v>
      </c>
      <c r="T98" s="461"/>
      <c r="U98" s="460" t="str">
        <f>U3</f>
        <v>Oct</v>
      </c>
      <c r="W98" s="460" t="str">
        <f>W3</f>
        <v>Nov</v>
      </c>
      <c r="Z98" s="460" t="str">
        <f>Z3</f>
        <v>Dec</v>
      </c>
      <c r="AB98" s="460"/>
      <c r="AC98" s="460"/>
      <c r="AD98" s="460"/>
      <c r="AE98" s="460"/>
      <c r="AF98" s="460"/>
      <c r="AG98" s="460"/>
      <c r="AH98" s="460"/>
      <c r="AI98" s="460"/>
      <c r="AJ98" s="460"/>
      <c r="AK98" s="460"/>
      <c r="AL98" s="460"/>
      <c r="AM98" s="460"/>
      <c r="AN98" s="460"/>
    </row>
    <row r="99">
      <c r="A99" s="459" t="s">
        <v>19</v>
      </c>
      <c r="B99" s="138" t="str">
        <f t="shared" si="29"/>
        <v>28.12-10.01</v>
      </c>
      <c r="C99" s="138" t="str">
        <f t="shared" ref="C99:AA99" si="30">C4</f>
        <v>11.01-24.01</v>
      </c>
      <c r="D99" s="138" t="str">
        <f t="shared" si="30"/>
        <v>25.01-07.02</v>
      </c>
      <c r="E99" s="138" t="str">
        <f t="shared" si="30"/>
        <v>08.02-21.02</v>
      </c>
      <c r="F99" s="138" t="str">
        <f t="shared" si="30"/>
        <v>22.02-06.03</v>
      </c>
      <c r="G99" s="138" t="str">
        <f t="shared" si="30"/>
        <v>07.03-20.03</v>
      </c>
      <c r="H99" s="138" t="str">
        <f t="shared" si="30"/>
        <v>21.03-03.04</v>
      </c>
      <c r="I99" s="138" t="str">
        <f t="shared" si="30"/>
        <v>04.04-24.04</v>
      </c>
      <c r="J99" s="138" t="str">
        <f t="shared" si="30"/>
        <v>25.04-08.05</v>
      </c>
      <c r="K99" s="138" t="str">
        <f t="shared" si="30"/>
        <v>09.05-22.05</v>
      </c>
      <c r="L99" s="138" t="str">
        <f t="shared" si="30"/>
        <v>23.05-05.06</v>
      </c>
      <c r="M99" s="138" t="str">
        <f t="shared" si="30"/>
        <v>6.06-26.06</v>
      </c>
      <c r="N99" s="138" t="str">
        <f t="shared" si="30"/>
        <v>27.06-10.07</v>
      </c>
      <c r="O99" s="138" t="str">
        <f t="shared" si="30"/>
        <v>11.07-24.07</v>
      </c>
      <c r="P99" s="138" t="str">
        <f t="shared" si="30"/>
        <v>25.07-07.08</v>
      </c>
      <c r="Q99" s="138" t="str">
        <f t="shared" si="30"/>
        <v>08.08-21.08</v>
      </c>
      <c r="R99" s="138" t="str">
        <f t="shared" si="30"/>
        <v>22.08-04.09</v>
      </c>
      <c r="S99" s="138" t="str">
        <f t="shared" si="30"/>
        <v>05.09-18.09</v>
      </c>
      <c r="T99" s="462" t="str">
        <f t="shared" si="30"/>
        <v>19.09-02.10</v>
      </c>
      <c r="U99" s="138" t="str">
        <f t="shared" si="30"/>
        <v/>
      </c>
      <c r="V99" s="138" t="str">
        <f t="shared" si="30"/>
        <v/>
      </c>
      <c r="W99" s="138" t="str">
        <f t="shared" si="30"/>
        <v/>
      </c>
      <c r="X99" s="138" t="str">
        <f t="shared" si="30"/>
        <v/>
      </c>
      <c r="Y99" s="138" t="str">
        <f t="shared" si="30"/>
        <v/>
      </c>
      <c r="Z99" s="138" t="str">
        <f t="shared" si="30"/>
        <v/>
      </c>
      <c r="AA99" s="138" t="str">
        <f t="shared" si="30"/>
        <v/>
      </c>
      <c r="AB99" s="138"/>
      <c r="AC99" s="138"/>
      <c r="AD99" s="138"/>
      <c r="AE99" s="138"/>
      <c r="AF99" s="138"/>
      <c r="AG99" s="138"/>
      <c r="AH99" s="138"/>
      <c r="AI99" s="138"/>
      <c r="AJ99" s="138"/>
      <c r="AK99" s="138"/>
      <c r="AL99" s="138"/>
      <c r="AM99" s="138"/>
      <c r="AN99" s="138"/>
    </row>
    <row r="100">
      <c r="A100" s="459" t="s">
        <v>20</v>
      </c>
      <c r="B100" s="463" t="str">
        <f t="shared" si="29"/>
        <v>Farewell Scala Dad 🎄</v>
      </c>
      <c r="C100" s="463" t="str">
        <f t="shared" ref="C100:AA100" si="31">C5</f>
        <v>24Q1K2 - Peak Shining Dance</v>
      </c>
      <c r="D100" s="463" t="str">
        <f t="shared" si="31"/>
        <v>24Q1K3 - this is bur(R)</v>
      </c>
      <c r="E100" s="463" t="str">
        <f t="shared" si="31"/>
        <v>24Q1K4 - D1R</v>
      </c>
      <c r="F100" s="463" t="str">
        <f t="shared" si="31"/>
        <v>24Q1K5 - Le QArasan</v>
      </c>
      <c r="G100" s="463" t="str">
        <f t="shared" si="31"/>
        <v>24Q1K6 - Sezeysi</v>
      </c>
      <c r="H100" s="463" t="str">
        <f t="shared" si="31"/>
        <v>24Q1K7 - Ananas Semsiye Kabak</v>
      </c>
      <c r="I100" s="463" t="str">
        <f t="shared" si="31"/>
        <v>24Q2K1 - Endless Meetings</v>
      </c>
      <c r="J100" s="463" t="str">
        <f t="shared" si="31"/>
        <v>24Q2K2 - 7 Yetmez 8 Olsun</v>
      </c>
      <c r="K100" s="463" t="str">
        <f t="shared" si="31"/>
        <v>24Q2K3 - 1 Ispartalı</v>
      </c>
      <c r="L100" s="463" t="str">
        <f t="shared" si="31"/>
        <v>24Q2K4 - Kafa Kalmadı</v>
      </c>
      <c r="M100" s="463" t="str">
        <f t="shared" si="31"/>
        <v>24Q2K5 - Şaka Mı!!!???</v>
      </c>
      <c r="N100" s="463" t="str">
        <f t="shared" si="31"/>
        <v>24Q2K6 - To Be Groomed</v>
      </c>
      <c r="O100" s="463" t="str">
        <f t="shared" si="31"/>
        <v>24Q3K1 - Nasil Yeneceksin</v>
      </c>
      <c r="P100" s="463" t="str">
        <f t="shared" si="31"/>
        <v>24Q3K2 - Yenilik Ateşi</v>
      </c>
      <c r="Q100" s="463" t="str">
        <f t="shared" si="31"/>
        <v>24Q3K3 - Hoşgeldin Bilal 🚀🤸‍♂️ </v>
      </c>
      <c r="R100" s="463" t="str">
        <f t="shared" si="31"/>
        <v>24Q3K4 - Sıfırdan Sonsuza</v>
      </c>
      <c r="S100" s="463" t="str">
        <f t="shared" si="31"/>
        <v>24Q3K5 - Fallen Leaf Search</v>
      </c>
      <c r="T100" s="464" t="str">
        <f t="shared" si="31"/>
        <v>24Q3K6 - Wedding Break</v>
      </c>
      <c r="U100" s="138" t="str">
        <f t="shared" si="31"/>
        <v/>
      </c>
      <c r="V100" s="138" t="str">
        <f t="shared" si="31"/>
        <v/>
      </c>
      <c r="W100" s="138" t="str">
        <f t="shared" si="31"/>
        <v/>
      </c>
      <c r="X100" s="138" t="str">
        <f t="shared" si="31"/>
        <v/>
      </c>
      <c r="Y100" s="138" t="str">
        <f t="shared" si="31"/>
        <v/>
      </c>
      <c r="Z100" s="138" t="str">
        <f t="shared" si="31"/>
        <v/>
      </c>
      <c r="AA100" s="138" t="str">
        <f t="shared" si="31"/>
        <v/>
      </c>
      <c r="AB100" s="138"/>
      <c r="AC100" s="138"/>
      <c r="AD100" s="138"/>
      <c r="AE100" s="138"/>
      <c r="AF100" s="138"/>
      <c r="AG100" s="138"/>
      <c r="AH100" s="138"/>
      <c r="AI100" s="138"/>
      <c r="AJ100" s="138"/>
      <c r="AK100" s="138"/>
      <c r="AL100" s="138"/>
      <c r="AM100" s="138"/>
      <c r="AN100" s="138"/>
    </row>
    <row r="101">
      <c r="A101" s="459" t="s">
        <v>700</v>
      </c>
      <c r="B101" s="138" t="str">
        <f>IFERROR(__xludf.DUMMYFUNCTION("B23 &amp; "" "" &amp; IF(TO_TEXT(B24) = ""100%"", ""✓"", ""✗"")"),"Locale KR QA camp readiness ✓")</f>
        <v>Locale KR QA camp readiness ✓</v>
      </c>
      <c r="C101" s="138" t="str">
        <f>IFERROR(__xludf.DUMMYFUNCTION("C23 &amp; "" "" &amp; IF(TO_TEXT(C24) = ""100%"", ""✓"", ""✗"")"),"Completing Locale KR QA Camp and Completing all SIM tasks ✓")</f>
        <v>Completing Locale KR QA Camp and Completing all SIM tasks ✓</v>
      </c>
      <c r="D101" s="138" t="str">
        <f>IFERROR(__xludf.DUMMYFUNCTION("D23 &amp; "" "" &amp; IF(TO_TEXT(D24) = ""100%"", ""✓"", ""✗"")"),"Starting research for Locale Limitations, PCD API and SR API latency/load problems.
 ✓")</f>
        <v>Starting research for Locale Limitations, PCD API and SR API latency/load problems.
 ✓</v>
      </c>
      <c r="E101" s="138" t="str">
        <f>IFERROR(__xludf.DUMMYFUNCTION("E23 &amp; "" "" &amp; IF(TO_TEXT(E24) = ""100%"", ""✓"", ""✗"")"),"Completing 300+ Locale tech design and initiating Variant Management research.
 ✓")</f>
        <v>Completing 300+ Locale tech design and initiating Variant Management research.
 ✓</v>
      </c>
      <c r="F101" s="138" t="str">
        <f>IFERROR(__xludf.DUMMYFUNCTION("F23 &amp; "" "" &amp; IF(TO_TEXT(F24) = ""100%"", ""✓"", ""✗"")"),"Completing variant management tech design and initializing category and sub catalog collection research. ✓")</f>
        <v>Completing variant management tech design and initializing category and sub catalog collection research. ✓</v>
      </c>
      <c r="G101" s="138" t="str">
        <f>IFERROR(__xludf.DUMMYFUNCTION("G23 &amp; "" "" &amp; IF(TO_TEXT(G24) = ""100%"", ""✓"", ""✗"")"),"Finalizing catalog schema research KR. ✓")</f>
        <v>Finalizing catalog schema research KR. ✓</v>
      </c>
      <c r="H101" s="138" t="str">
        <f>IFERROR(__xludf.DUMMYFUNCTION("H23 &amp; "" "" &amp; IF(TO_TEXT(H24) = ""100%"", ""✓"", ""✗"")"),"Grand opening of Locale KR and fixing XML Parser Mysql Usage related problems. ✗")</f>
        <v>Grand opening of Locale KR and fixing XML Parser Mysql Usage related problems. ✗</v>
      </c>
      <c r="I101" s="138" t="str">
        <f>IFERROR(__xludf.DUMMYFUNCTION("I23 &amp; "" "" &amp; IF(TO_TEXT(I24) = ""100%"", ""✓"", ""✗"")"),"Preparing catalog integration KR development plan and serving product attributes via GSS ✗")</f>
        <v>Preparing catalog integration KR development plan and serving product attributes via GSS ✗</v>
      </c>
      <c r="J101" s="138" t="str">
        <f>IFERROR(__xludf.DUMMYFUNCTION("J23 &amp; "" "" &amp; IF(TO_TEXT(J24) = ""100%"", ""✓"", ""✗"")"),"Creating Micro Frontend Application for Catalog Integration Wizard and migrating Product Attributes to GSS ✗")</f>
        <v>Creating Micro Frontend Application for Catalog Integration Wizard and migrating Product Attributes to GSS ✗</v>
      </c>
      <c r="K101" s="138" t="str">
        <f>IFERROR(__xludf.DUMMYFUNCTION("K23 &amp; "" "" &amp; IF(TO_TEXT(K24) = ""100%"", ""✓"", ""✗"")"),"Completing Introduction and Business Details pages of Catalog Wizard and developing Dynamic Filters without System Rules ✓")</f>
        <v>Completing Introduction and Business Details pages of Catalog Wizard and developing Dynamic Filters without System Rules ✓</v>
      </c>
      <c r="L101" s="138" t="str">
        <f>IFERROR(__xludf.DUMMYFUNCTION("L23 &amp; "" "" &amp; IF(TO_TEXT(L24) = ""100%"", ""✓"", ""✗"")"),"Completing XML Integration Drraft Mode and Catalog Integration Wizard Locale Page ✓")</f>
        <v>Completing XML Integration Drraft Mode and Catalog Integration Wizard Locale Page ✓</v>
      </c>
      <c r="M101" s="138" t="str">
        <f>IFERROR(__xludf.DUMMYFUNCTION("M23 &amp; "" "" &amp; IF(TO_TEXT(M24) = ""100%"", ""✓"", ""✗"")"),"XML multicurrency support and Completing Product Attribute Page &amp; Catalog Intro of Wizard. ✗")</f>
        <v>XML multicurrency support and Completing Product Attribute Page &amp; Catalog Intro of Wizard. ✗</v>
      </c>
      <c r="N101" s="138" t="str">
        <f>IFERROR(__xludf.DUMMYFUNCTION("N23 &amp; "" "" &amp; IF(TO_TEXT(N24) = ""100%"", ""✓"", ""✗"")"),"Completing Onboarding Wizard &gt; XML Settings. ✓")</f>
        <v>Completing Onboarding Wizard &gt; XML Settings. ✓</v>
      </c>
      <c r="O101" s="138" t="str">
        <f>IFERROR(__xludf.DUMMYFUNCTION("O23 &amp; "" "" &amp; IF(TO_TEXT(O24) = ""100%"", ""✓"", ""✗"")"),"Completing XML Access Auth and Product Attributes Mapping pages on Catalog Integration Wizard ✗")</f>
        <v>Completing XML Access Auth and Product Attributes Mapping pages on Catalog Integration Wizard ✗</v>
      </c>
      <c r="P101" s="138" t="str">
        <f>IFERROR(__xludf.DUMMYFUNCTION("P23 &amp; "" "" &amp; IF(TO_TEXT(P24) = ""100%"", ""✓"", ""✗"")"),"Completing Product Attributes Pages for Catalog Integration and Updating Vetro for New Fields ✗")</f>
        <v>Completing Product Attributes Pages for Catalog Integration and Updating Vetro for New Fields ✗</v>
      </c>
      <c r="Q101" s="138" t="str">
        <f>IFERROR(__xludf.DUMMYFUNCTION("Q23 &amp; "" "" &amp; IF(TO_TEXT(Q24) = ""100%"", ""✓"", ""✗"")"),"Completing Product Attributes Mapping and Integration Status for Catalog Integration Wizard. ✓")</f>
        <v>Completing Product Attributes Mapping and Integration Status for Catalog Integration Wizard. ✓</v>
      </c>
      <c r="R101" s="138" t="str">
        <f>IFERROR(__xludf.DUMMYFUNCTION("R23 &amp; "" "" &amp; IF(TO_TEXT(R24) = ""100%"", ""✓"", ""✗"")"),"Completing Data Planning Change Flows. ✓")</f>
        <v>Completing Data Planning Change Flows. ✓</v>
      </c>
      <c r="S101" s="138" t="str">
        <f>IFERROR(__xludf.DUMMYFUNCTION("S23 &amp; "" "" &amp; IF(TO_TEXT(S24) = ""100%"", ""✓"", ""✗"")"),"Developing Catalog Integration Change Flows and Completing ES Migration Preparation ✓")</f>
        <v>Developing Catalog Integration Change Flows and Completing ES Migration Preparation ✓</v>
      </c>
      <c r="T101" s="462" t="str">
        <f>IFERROR(__xludf.DUMMYFUNCTION("T23 &amp; "" "" &amp; IF(TO_TEXT(T24) = ""100%"", ""✓"", ""✗"")"),"Completing Change Flows for Catalog Integration Wizard ✓")</f>
        <v>Completing Change Flows for Catalog Integration Wizard ✓</v>
      </c>
      <c r="U101" s="138" t="str">
        <f>IFERROR(__xludf.DUMMYFUNCTION("U23 &amp; "" "" &amp; IF(TO_TEXT(U24) = ""100%"", ""✓"", ""✗"")")," ✗")</f>
        <v> ✗</v>
      </c>
      <c r="V101" s="138" t="str">
        <f>IFERROR(__xludf.DUMMYFUNCTION("V23 &amp; "" "" &amp; IF(TO_TEXT(V24) = ""100%"", ""✓"", ""✗"")")," ✗")</f>
        <v> ✗</v>
      </c>
      <c r="W101" s="138" t="str">
        <f>IFERROR(__xludf.DUMMYFUNCTION("W23 &amp; "" "" &amp; IF(TO_TEXT(W24) = ""100%"", ""✓"", ""✗"")")," ✗")</f>
        <v> ✗</v>
      </c>
      <c r="X101" s="138" t="str">
        <f>IFERROR(__xludf.DUMMYFUNCTION("X23 &amp; "" "" &amp; IF(TO_TEXT(X24) = ""100%"", ""✓"", ""✗"")")," ✗")</f>
        <v> ✗</v>
      </c>
      <c r="Y101" s="138" t="str">
        <f>IFERROR(__xludf.DUMMYFUNCTION("Y23 &amp; "" "" &amp; IF(TO_TEXT(Y24) = ""100%"", ""✓"", ""✗"")")," ✗")</f>
        <v> ✗</v>
      </c>
      <c r="Z101" s="138" t="str">
        <f>IFERROR(__xludf.DUMMYFUNCTION("Z23 &amp; "" "" &amp; IF(TO_TEXT(Z24) = ""100%"", ""✓"", ""✗"")")," ✗")</f>
        <v> ✗</v>
      </c>
      <c r="AA101" s="138" t="str">
        <f>IFERROR(__xludf.DUMMYFUNCTION("AA23 &amp; "" "" &amp; IF(TO_TEXT(AA24) = ""100%"", ""✓"", ""✗"")")," ✗")</f>
        <v> ✗</v>
      </c>
      <c r="AB101" s="138"/>
      <c r="AC101" s="138"/>
      <c r="AD101" s="138"/>
      <c r="AE101" s="138"/>
      <c r="AF101" s="138"/>
      <c r="AG101" s="138"/>
      <c r="AH101" s="138"/>
      <c r="AI101" s="138"/>
      <c r="AJ101" s="138"/>
      <c r="AK101" s="138"/>
      <c r="AL101" s="138"/>
      <c r="AM101" s="138"/>
      <c r="AN101" s="138"/>
    </row>
    <row r="102">
      <c r="A102" s="459" t="s">
        <v>42</v>
      </c>
      <c r="B102" s="465">
        <f t="shared" ref="B102:AA102" si="32">B31</f>
        <v>0.3909090909</v>
      </c>
      <c r="C102" s="465">
        <f t="shared" si="32"/>
        <v>0.3492063492</v>
      </c>
      <c r="D102" s="465">
        <f t="shared" si="32"/>
        <v>0.4135338346</v>
      </c>
      <c r="E102" s="465">
        <f t="shared" si="32"/>
        <v>0.75</v>
      </c>
      <c r="F102" s="465">
        <f t="shared" si="32"/>
        <v>0.3503184713</v>
      </c>
      <c r="G102" s="465">
        <f t="shared" si="32"/>
        <v>0.6071428571</v>
      </c>
      <c r="H102" s="465">
        <f t="shared" si="32"/>
        <v>0.3859649123</v>
      </c>
      <c r="I102" s="465">
        <f t="shared" si="32"/>
        <v>0.3939393939</v>
      </c>
      <c r="J102" s="465">
        <f t="shared" si="32"/>
        <v>0.4640883978</v>
      </c>
      <c r="K102" s="465">
        <f t="shared" si="32"/>
        <v>0.4320987654</v>
      </c>
      <c r="L102" s="465">
        <f t="shared" si="32"/>
        <v>0.4196891192</v>
      </c>
      <c r="M102" s="465">
        <f t="shared" si="32"/>
        <v>0.5144508671</v>
      </c>
      <c r="N102" s="465">
        <f t="shared" si="32"/>
        <v>0.3063583815</v>
      </c>
      <c r="O102" s="465">
        <f t="shared" si="32"/>
        <v>0.4272727273</v>
      </c>
      <c r="P102" s="465">
        <f t="shared" si="32"/>
        <v>0.2814371257</v>
      </c>
      <c r="Q102" s="465">
        <f t="shared" si="32"/>
        <v>0.3008849558</v>
      </c>
      <c r="R102" s="465">
        <f t="shared" si="32"/>
        <v>0.2680412371</v>
      </c>
      <c r="S102" s="465">
        <f t="shared" si="32"/>
        <v>0.3852459016</v>
      </c>
      <c r="T102" s="466">
        <f t="shared" si="32"/>
        <v>0.3853211009</v>
      </c>
      <c r="U102" s="465" t="str">
        <f t="shared" si="32"/>
        <v>#DIV/0!</v>
      </c>
      <c r="V102" s="465" t="str">
        <f t="shared" si="32"/>
        <v>#DIV/0!</v>
      </c>
      <c r="W102" s="465" t="str">
        <f t="shared" si="32"/>
        <v>#DIV/0!</v>
      </c>
      <c r="X102" s="465" t="str">
        <f t="shared" si="32"/>
        <v>#DIV/0!</v>
      </c>
      <c r="Y102" s="465" t="str">
        <f t="shared" si="32"/>
        <v>#DIV/0!</v>
      </c>
      <c r="Z102" s="465" t="str">
        <f t="shared" si="32"/>
        <v>#DIV/0!</v>
      </c>
      <c r="AA102" s="465" t="str">
        <f t="shared" si="32"/>
        <v>#DIV/0!</v>
      </c>
      <c r="AB102" s="138"/>
      <c r="AC102" s="138"/>
      <c r="AD102" s="138"/>
      <c r="AE102" s="138"/>
      <c r="AF102" s="138"/>
      <c r="AG102" s="138"/>
      <c r="AH102" s="138"/>
      <c r="AI102" s="138"/>
      <c r="AJ102" s="138"/>
      <c r="AK102" s="138"/>
      <c r="AL102" s="138"/>
      <c r="AM102" s="138"/>
      <c r="AN102" s="138"/>
    </row>
    <row r="103">
      <c r="A103" s="459" t="s">
        <v>701</v>
      </c>
      <c r="B103" s="465">
        <f t="shared" ref="B103:AA103" si="33">B32</f>
        <v>1</v>
      </c>
      <c r="C103" s="465">
        <f t="shared" si="33"/>
        <v>1</v>
      </c>
      <c r="D103" s="465">
        <f t="shared" si="33"/>
        <v>1</v>
      </c>
      <c r="E103" s="465">
        <f t="shared" si="33"/>
        <v>1</v>
      </c>
      <c r="F103" s="465">
        <f t="shared" si="33"/>
        <v>1</v>
      </c>
      <c r="G103" s="465">
        <f t="shared" si="33"/>
        <v>1</v>
      </c>
      <c r="H103" s="465">
        <f t="shared" si="33"/>
        <v>1</v>
      </c>
      <c r="I103" s="465">
        <f t="shared" si="33"/>
        <v>1</v>
      </c>
      <c r="J103" s="465">
        <f t="shared" si="33"/>
        <v>1</v>
      </c>
      <c r="K103" s="465">
        <f t="shared" si="33"/>
        <v>1</v>
      </c>
      <c r="L103" s="465">
        <f t="shared" si="33"/>
        <v>1</v>
      </c>
      <c r="M103" s="465">
        <f t="shared" si="33"/>
        <v>1</v>
      </c>
      <c r="N103" s="465">
        <f t="shared" si="33"/>
        <v>1</v>
      </c>
      <c r="O103" s="465">
        <f t="shared" si="33"/>
        <v>1</v>
      </c>
      <c r="P103" s="465">
        <f t="shared" si="33"/>
        <v>1</v>
      </c>
      <c r="Q103" s="465">
        <f t="shared" si="33"/>
        <v>1</v>
      </c>
      <c r="R103" s="465">
        <f t="shared" si="33"/>
        <v>1</v>
      </c>
      <c r="S103" s="465">
        <f t="shared" si="33"/>
        <v>1</v>
      </c>
      <c r="T103" s="466">
        <f t="shared" si="33"/>
        <v>1</v>
      </c>
      <c r="U103" s="465">
        <f t="shared" si="33"/>
        <v>0</v>
      </c>
      <c r="V103" s="465">
        <f t="shared" si="33"/>
        <v>0</v>
      </c>
      <c r="W103" s="465">
        <f t="shared" si="33"/>
        <v>0</v>
      </c>
      <c r="X103" s="465">
        <f t="shared" si="33"/>
        <v>0</v>
      </c>
      <c r="Y103" s="465">
        <f t="shared" si="33"/>
        <v>0</v>
      </c>
      <c r="Z103" s="465">
        <f t="shared" si="33"/>
        <v>0</v>
      </c>
      <c r="AA103" s="465">
        <f t="shared" si="33"/>
        <v>0</v>
      </c>
      <c r="AB103" s="138"/>
      <c r="AC103" s="138"/>
      <c r="AD103" s="138"/>
      <c r="AE103" s="138"/>
      <c r="AF103" s="138"/>
      <c r="AG103" s="138"/>
      <c r="AH103" s="138"/>
      <c r="AI103" s="138"/>
      <c r="AJ103" s="138"/>
      <c r="AK103" s="138"/>
      <c r="AL103" s="138"/>
      <c r="AM103" s="138"/>
      <c r="AN103" s="138"/>
    </row>
    <row r="104">
      <c r="A104" s="457" t="s">
        <v>44</v>
      </c>
      <c r="B104" s="465">
        <f t="shared" ref="B104:AA104" si="34">B33</f>
        <v>1</v>
      </c>
      <c r="C104" s="465">
        <f t="shared" si="34"/>
        <v>1</v>
      </c>
      <c r="D104" s="465">
        <f t="shared" si="34"/>
        <v>1</v>
      </c>
      <c r="E104" s="465">
        <f t="shared" si="34"/>
        <v>1</v>
      </c>
      <c r="F104" s="465">
        <f t="shared" si="34"/>
        <v>1</v>
      </c>
      <c r="G104" s="465">
        <f t="shared" si="34"/>
        <v>1</v>
      </c>
      <c r="H104" s="465">
        <f t="shared" si="34"/>
        <v>0.3</v>
      </c>
      <c r="I104" s="465">
        <f t="shared" si="34"/>
        <v>0.3</v>
      </c>
      <c r="J104" s="465">
        <f t="shared" si="34"/>
        <v>0.3</v>
      </c>
      <c r="K104" s="465">
        <f t="shared" si="34"/>
        <v>1</v>
      </c>
      <c r="L104" s="465">
        <f t="shared" si="34"/>
        <v>1</v>
      </c>
      <c r="M104" s="465">
        <f t="shared" si="34"/>
        <v>0.3</v>
      </c>
      <c r="N104" s="465">
        <f t="shared" si="34"/>
        <v>1</v>
      </c>
      <c r="O104" s="465">
        <f t="shared" si="34"/>
        <v>0.3</v>
      </c>
      <c r="P104" s="465">
        <f t="shared" si="34"/>
        <v>0.15</v>
      </c>
      <c r="Q104" s="465">
        <f t="shared" si="34"/>
        <v>1</v>
      </c>
      <c r="R104" s="465">
        <f t="shared" si="34"/>
        <v>0.85</v>
      </c>
      <c r="S104" s="465">
        <f t="shared" si="34"/>
        <v>1</v>
      </c>
      <c r="T104" s="466">
        <f t="shared" si="34"/>
        <v>1</v>
      </c>
      <c r="U104" s="465" t="str">
        <f t="shared" si="34"/>
        <v>#DIV/0!</v>
      </c>
      <c r="V104" s="465" t="str">
        <f t="shared" si="34"/>
        <v>#DIV/0!</v>
      </c>
      <c r="W104" s="465" t="str">
        <f t="shared" si="34"/>
        <v>#DIV/0!</v>
      </c>
      <c r="X104" s="465" t="str">
        <f t="shared" si="34"/>
        <v>#DIV/0!</v>
      </c>
      <c r="Y104" s="465" t="str">
        <f t="shared" si="34"/>
        <v>#DIV/0!</v>
      </c>
      <c r="Z104" s="465" t="str">
        <f t="shared" si="34"/>
        <v>#DIV/0!</v>
      </c>
      <c r="AA104" s="465" t="str">
        <f t="shared" si="34"/>
        <v>#DIV/0!</v>
      </c>
      <c r="AB104" s="138"/>
      <c r="AC104" s="138"/>
      <c r="AD104" s="138"/>
      <c r="AE104" s="138"/>
      <c r="AF104" s="138"/>
      <c r="AG104" s="138"/>
      <c r="AH104" s="138"/>
      <c r="AI104" s="138"/>
      <c r="AJ104" s="138"/>
      <c r="AK104" s="138"/>
      <c r="AL104" s="138"/>
      <c r="AM104" s="138"/>
      <c r="AN104" s="138"/>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row r="947">
      <c r="B947" s="138"/>
      <c r="U947" s="31"/>
    </row>
    <row r="948">
      <c r="B948" s="138"/>
      <c r="U948" s="31"/>
    </row>
    <row r="949">
      <c r="B949" s="138"/>
      <c r="U949" s="31"/>
    </row>
    <row r="950">
      <c r="B950" s="138"/>
      <c r="U950" s="31"/>
    </row>
    <row r="951">
      <c r="B951" s="138"/>
      <c r="U951" s="31"/>
    </row>
    <row r="952">
      <c r="B952" s="138"/>
      <c r="U952" s="31"/>
    </row>
    <row r="953">
      <c r="B953" s="138"/>
      <c r="U953" s="31"/>
    </row>
    <row r="954">
      <c r="B954" s="138"/>
      <c r="U954" s="31"/>
    </row>
    <row r="955">
      <c r="B955" s="138"/>
      <c r="U955" s="31"/>
    </row>
    <row r="956">
      <c r="B956" s="138"/>
      <c r="U956" s="31"/>
    </row>
    <row r="957">
      <c r="B957" s="138"/>
      <c r="U957" s="31"/>
    </row>
    <row r="958">
      <c r="B958" s="138"/>
      <c r="U958" s="31"/>
    </row>
  </sheetData>
  <mergeCells count="28">
    <mergeCell ref="M3:N3"/>
    <mergeCell ref="O3:P3"/>
    <mergeCell ref="Q3:R3"/>
    <mergeCell ref="S3:T3"/>
    <mergeCell ref="U3:V3"/>
    <mergeCell ref="W3:Y3"/>
    <mergeCell ref="B2:G2"/>
    <mergeCell ref="H2:N2"/>
    <mergeCell ref="O2:T2"/>
    <mergeCell ref="U2:AA2"/>
    <mergeCell ref="B3:C3"/>
    <mergeCell ref="D3:E3"/>
    <mergeCell ref="F3:G3"/>
    <mergeCell ref="Z3:AA3"/>
    <mergeCell ref="M98:N98"/>
    <mergeCell ref="O98:P98"/>
    <mergeCell ref="Q98:R98"/>
    <mergeCell ref="S98:T98"/>
    <mergeCell ref="U98:V98"/>
    <mergeCell ref="W98:Y98"/>
    <mergeCell ref="Z98:AA98"/>
    <mergeCell ref="H3:I3"/>
    <mergeCell ref="J3:L3"/>
    <mergeCell ref="B98:C98"/>
    <mergeCell ref="D98:E98"/>
    <mergeCell ref="F98:G98"/>
    <mergeCell ref="H98:I98"/>
    <mergeCell ref="J98:L98"/>
  </mergeCells>
  <dataValidations>
    <dataValidation type="list" allowBlank="1" showErrorMessage="1" sqref="B24:AN24 B32:AN32">
      <formula1>"0%,100%"</formula1>
    </dataValidation>
  </dataValidations>
  <hyperlinks>
    <hyperlink r:id="rId2" location="gid=368137941" ref="B5"/>
    <hyperlink r:id="rId3" location="gid=1837132757" ref="C5"/>
    <hyperlink r:id="rId4" location="gid=2055266017" ref="D5"/>
    <hyperlink r:id="rId5" location="gid=304195600" ref="E5"/>
    <hyperlink r:id="rId6" location="gid=996343888" ref="F5"/>
    <hyperlink r:id="rId7" location="gid=996343888" ref="G5"/>
    <hyperlink r:id="rId8" location="gid=562281694" ref="H5"/>
    <hyperlink r:id="rId9" location="gid=562281694" ref="I5"/>
    <hyperlink r:id="rId10" location="gid=562281694" ref="J5"/>
    <hyperlink r:id="rId11" location="gid=562281694" ref="K5"/>
    <hyperlink r:id="rId12" location="gid=831398131" ref="L5"/>
    <hyperlink r:id="rId13" location="gid=562281694" ref="M5"/>
    <hyperlink r:id="rId14" location="gid=562281694" ref="N5"/>
    <hyperlink r:id="rId15" location="gid=996343888" ref="O5"/>
    <hyperlink r:id="rId16" location="gid=562281694" ref="P5"/>
    <hyperlink r:id="rId17" location="gid=1001913119" ref="Q5"/>
    <hyperlink r:id="rId18" location="gid=562281694" ref="R5"/>
    <hyperlink r:id="rId19" location="gid=996343888" ref="S5"/>
    <hyperlink r:id="rId20" location="gid=562281694" ref="T5"/>
  </hyperlinks>
  <drawing r:id="rId21"/>
  <legacyDrawing r:id="rId2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32.0"/>
    <col customWidth="1" min="2" max="2" width="14.75"/>
    <col customWidth="1" min="5" max="5" width="14.0"/>
    <col customWidth="1" min="26" max="26" width="13.5"/>
  </cols>
  <sheetData>
    <row r="1" ht="30.0" customHeight="1">
      <c r="A1" s="1" t="s">
        <v>702</v>
      </c>
      <c r="B1" s="2"/>
      <c r="C1" s="3"/>
      <c r="D1" s="3"/>
      <c r="E1" s="3"/>
      <c r="F1" s="3"/>
      <c r="G1" s="3"/>
      <c r="H1" s="3"/>
      <c r="I1" s="3"/>
      <c r="J1" s="3"/>
      <c r="K1" s="3"/>
      <c r="L1" s="3"/>
      <c r="M1" s="3"/>
      <c r="N1" s="3"/>
      <c r="O1" s="4"/>
      <c r="P1" s="4"/>
      <c r="Q1" s="4"/>
      <c r="R1" s="4"/>
      <c r="S1" s="4"/>
      <c r="T1" s="4"/>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9"/>
      <c r="M2" s="10" t="s">
        <v>4</v>
      </c>
      <c r="N2" s="8"/>
      <c r="O2" s="8"/>
      <c r="P2" s="8"/>
      <c r="Q2" s="8"/>
      <c r="R2" s="9"/>
      <c r="S2" s="467" t="s">
        <v>5</v>
      </c>
      <c r="T2" s="8"/>
      <c r="U2" s="8"/>
      <c r="V2" s="8"/>
      <c r="W2" s="8"/>
      <c r="X2" s="8"/>
      <c r="Y2" s="9"/>
      <c r="Z2" s="12"/>
      <c r="AA2" s="12"/>
      <c r="AB2" s="12"/>
      <c r="AC2" s="12"/>
      <c r="AD2" s="12"/>
      <c r="AE2" s="12"/>
      <c r="AF2" s="12"/>
      <c r="AG2" s="12"/>
      <c r="AH2" s="12"/>
      <c r="AI2" s="12"/>
      <c r="AJ2" s="12"/>
      <c r="AK2" s="12"/>
      <c r="AL2" s="12"/>
      <c r="AM2" s="12"/>
      <c r="AN2" s="12"/>
    </row>
    <row r="3">
      <c r="A3" s="6" t="s">
        <v>6</v>
      </c>
      <c r="B3" s="13" t="s">
        <v>7</v>
      </c>
      <c r="C3" s="14"/>
      <c r="D3" s="15" t="s">
        <v>8</v>
      </c>
      <c r="E3" s="9"/>
      <c r="F3" s="10" t="s">
        <v>9</v>
      </c>
      <c r="G3" s="9"/>
      <c r="H3" s="468" t="s">
        <v>10</v>
      </c>
      <c r="I3" s="10" t="s">
        <v>11</v>
      </c>
      <c r="J3" s="8"/>
      <c r="K3" s="469" t="s">
        <v>12</v>
      </c>
      <c r="L3" s="9"/>
      <c r="M3" s="10" t="s">
        <v>13</v>
      </c>
      <c r="N3" s="8"/>
      <c r="O3" s="15" t="s">
        <v>14</v>
      </c>
      <c r="P3" s="9"/>
      <c r="Q3" s="10" t="s">
        <v>15</v>
      </c>
      <c r="R3" s="9"/>
      <c r="S3" s="17" t="s">
        <v>16</v>
      </c>
      <c r="T3" s="9"/>
      <c r="U3" s="10" t="s">
        <v>17</v>
      </c>
      <c r="V3" s="8"/>
      <c r="W3" s="9"/>
      <c r="X3" s="16" t="s">
        <v>18</v>
      </c>
      <c r="Y3" s="9"/>
      <c r="Z3" s="12"/>
      <c r="AA3" s="12"/>
      <c r="AB3" s="12"/>
      <c r="AC3" s="12"/>
      <c r="AD3" s="12"/>
      <c r="AE3" s="12"/>
      <c r="AF3" s="12"/>
      <c r="AG3" s="12"/>
      <c r="AH3" s="12"/>
      <c r="AI3" s="12"/>
      <c r="AJ3" s="12"/>
      <c r="AK3" s="12"/>
      <c r="AL3" s="12"/>
      <c r="AM3" s="12"/>
      <c r="AN3" s="12"/>
    </row>
    <row r="4">
      <c r="A4" s="6" t="s">
        <v>19</v>
      </c>
      <c r="B4" s="18">
        <v>5.01</v>
      </c>
      <c r="C4" s="18">
        <v>18.01</v>
      </c>
      <c r="D4" s="18">
        <v>2.02</v>
      </c>
      <c r="E4" s="18">
        <v>16.02</v>
      </c>
      <c r="F4" s="18">
        <v>1.03</v>
      </c>
      <c r="G4" s="18">
        <v>15.03</v>
      </c>
      <c r="H4" s="470" t="s">
        <v>703</v>
      </c>
      <c r="I4" s="470" t="s">
        <v>704</v>
      </c>
      <c r="J4" s="470" t="s">
        <v>535</v>
      </c>
      <c r="K4" s="470" t="s">
        <v>705</v>
      </c>
      <c r="L4" s="470" t="s">
        <v>706</v>
      </c>
      <c r="M4" s="470" t="s">
        <v>707</v>
      </c>
      <c r="N4" s="470" t="s">
        <v>708</v>
      </c>
      <c r="O4" s="470" t="s">
        <v>709</v>
      </c>
      <c r="P4" s="470" t="s">
        <v>710</v>
      </c>
      <c r="Q4" s="470" t="s">
        <v>711</v>
      </c>
      <c r="R4" s="470" t="s">
        <v>712</v>
      </c>
      <c r="S4" s="470" t="s">
        <v>713</v>
      </c>
      <c r="T4" s="19"/>
      <c r="U4" s="19"/>
      <c r="V4" s="19"/>
      <c r="W4" s="19"/>
      <c r="X4" s="19"/>
      <c r="Y4" s="21"/>
      <c r="Z4" s="12"/>
      <c r="AA4" s="12"/>
      <c r="AB4" s="12"/>
      <c r="AC4" s="12"/>
      <c r="AD4" s="12"/>
      <c r="AE4" s="12"/>
      <c r="AF4" s="12"/>
      <c r="AG4" s="12"/>
      <c r="AH4" s="12"/>
      <c r="AI4" s="12"/>
      <c r="AJ4" s="12"/>
      <c r="AK4" s="12"/>
      <c r="AL4" s="12"/>
      <c r="AM4" s="12"/>
      <c r="AN4" s="12"/>
    </row>
    <row r="5">
      <c r="A5" s="22" t="s">
        <v>20</v>
      </c>
      <c r="B5" s="23" t="s">
        <v>714</v>
      </c>
      <c r="C5" s="23" t="s">
        <v>715</v>
      </c>
      <c r="D5" s="23" t="s">
        <v>716</v>
      </c>
      <c r="E5" s="23" t="s">
        <v>717</v>
      </c>
      <c r="F5" s="23" t="s">
        <v>718</v>
      </c>
      <c r="G5" s="471" t="s">
        <v>719</v>
      </c>
      <c r="H5" s="471" t="s">
        <v>720</v>
      </c>
      <c r="I5" s="471" t="s">
        <v>721</v>
      </c>
      <c r="J5" s="471" t="s">
        <v>722</v>
      </c>
      <c r="K5" s="472" t="s">
        <v>723</v>
      </c>
      <c r="L5" s="473" t="s">
        <v>724</v>
      </c>
      <c r="M5" s="25" t="s">
        <v>725</v>
      </c>
      <c r="N5" s="25" t="s">
        <v>726</v>
      </c>
      <c r="O5" s="474" t="s">
        <v>727</v>
      </c>
      <c r="P5" s="474" t="s">
        <v>728</v>
      </c>
      <c r="Q5" s="473" t="s">
        <v>729</v>
      </c>
      <c r="R5" s="25" t="s">
        <v>730</v>
      </c>
      <c r="S5" s="26" t="s">
        <v>731</v>
      </c>
      <c r="T5" s="25"/>
      <c r="U5" s="24"/>
      <c r="V5" s="24"/>
      <c r="W5" s="24"/>
      <c r="X5" s="25"/>
      <c r="Y5" s="25"/>
      <c r="Z5" s="27"/>
      <c r="AA5" s="28"/>
      <c r="AB5" s="28"/>
      <c r="AC5" s="28"/>
      <c r="AD5" s="28"/>
      <c r="AE5" s="28"/>
      <c r="AF5" s="28"/>
      <c r="AG5" s="28"/>
      <c r="AH5" s="28"/>
      <c r="AI5" s="28"/>
      <c r="AJ5" s="28"/>
      <c r="AK5" s="28"/>
      <c r="AL5" s="28"/>
      <c r="AM5" s="28"/>
      <c r="AN5" s="28"/>
    </row>
    <row r="6">
      <c r="A6" s="29"/>
      <c r="B6" s="30"/>
      <c r="O6" s="475"/>
      <c r="P6" s="476"/>
      <c r="S6" s="31"/>
    </row>
    <row r="7">
      <c r="A7" s="32" t="s">
        <v>21</v>
      </c>
      <c r="B7" s="33">
        <v>118.0</v>
      </c>
      <c r="C7" s="34">
        <v>134.0</v>
      </c>
      <c r="D7" s="34">
        <v>126.0</v>
      </c>
      <c r="E7" s="34">
        <v>149.0</v>
      </c>
      <c r="F7" s="34">
        <v>145.0</v>
      </c>
      <c r="G7" s="34">
        <v>149.0</v>
      </c>
      <c r="H7" s="34">
        <v>214.0</v>
      </c>
      <c r="I7" s="34">
        <v>188.0</v>
      </c>
      <c r="J7" s="34">
        <v>154.0</v>
      </c>
      <c r="K7" s="34">
        <v>218.0</v>
      </c>
      <c r="L7" s="34">
        <v>161.0</v>
      </c>
      <c r="M7" s="34">
        <v>185.0</v>
      </c>
      <c r="N7" s="34">
        <v>176.0</v>
      </c>
      <c r="O7" s="34">
        <v>130.0</v>
      </c>
      <c r="P7" s="34">
        <v>172.0</v>
      </c>
      <c r="Q7" s="34">
        <v>168.0</v>
      </c>
      <c r="R7" s="35">
        <v>169.0</v>
      </c>
      <c r="S7" s="36">
        <v>164.0</v>
      </c>
      <c r="T7" s="34"/>
      <c r="U7" s="34"/>
      <c r="V7" s="34"/>
      <c r="W7" s="34"/>
      <c r="X7" s="34"/>
      <c r="Y7" s="34"/>
    </row>
    <row r="8">
      <c r="A8" s="37" t="s">
        <v>22</v>
      </c>
      <c r="B8" s="38">
        <v>112.0</v>
      </c>
      <c r="C8" s="39">
        <v>127.0</v>
      </c>
      <c r="D8" s="39">
        <v>112.0</v>
      </c>
      <c r="E8" s="39">
        <v>147.0</v>
      </c>
      <c r="F8" s="39">
        <v>141.0</v>
      </c>
      <c r="G8" s="39">
        <v>146.0</v>
      </c>
      <c r="H8" s="39">
        <v>194.0</v>
      </c>
      <c r="I8" s="39">
        <v>170.0</v>
      </c>
      <c r="J8" s="39">
        <v>144.0</v>
      </c>
      <c r="K8" s="39">
        <v>186.0</v>
      </c>
      <c r="L8" s="39">
        <v>161.0</v>
      </c>
      <c r="M8" s="39">
        <v>165.0</v>
      </c>
      <c r="N8" s="39">
        <v>162.0</v>
      </c>
      <c r="O8" s="39">
        <v>117.0</v>
      </c>
      <c r="P8" s="39">
        <v>165.0</v>
      </c>
      <c r="Q8" s="39">
        <v>160.0</v>
      </c>
      <c r="R8" s="40">
        <v>159.0</v>
      </c>
      <c r="S8" s="41">
        <v>155.0</v>
      </c>
      <c r="T8" s="39"/>
      <c r="U8" s="39"/>
      <c r="V8" s="39"/>
      <c r="W8" s="39"/>
      <c r="X8" s="39"/>
      <c r="Y8" s="39"/>
    </row>
    <row r="9">
      <c r="A9" s="37" t="s">
        <v>23</v>
      </c>
      <c r="B9" s="38">
        <f t="shared" ref="B9:S9" si="1">B7-B8</f>
        <v>6</v>
      </c>
      <c r="C9" s="38">
        <f t="shared" si="1"/>
        <v>7</v>
      </c>
      <c r="D9" s="38">
        <f t="shared" si="1"/>
        <v>14</v>
      </c>
      <c r="E9" s="38">
        <f t="shared" si="1"/>
        <v>2</v>
      </c>
      <c r="F9" s="38">
        <f t="shared" si="1"/>
        <v>4</v>
      </c>
      <c r="G9" s="38">
        <f t="shared" si="1"/>
        <v>3</v>
      </c>
      <c r="H9" s="38">
        <f t="shared" si="1"/>
        <v>20</v>
      </c>
      <c r="I9" s="38">
        <f t="shared" si="1"/>
        <v>18</v>
      </c>
      <c r="J9" s="38">
        <f t="shared" si="1"/>
        <v>10</v>
      </c>
      <c r="K9" s="38">
        <f t="shared" si="1"/>
        <v>32</v>
      </c>
      <c r="L9" s="38">
        <f t="shared" si="1"/>
        <v>0</v>
      </c>
      <c r="M9" s="38">
        <f t="shared" si="1"/>
        <v>20</v>
      </c>
      <c r="N9" s="38">
        <f t="shared" si="1"/>
        <v>14</v>
      </c>
      <c r="O9" s="38">
        <f t="shared" si="1"/>
        <v>13</v>
      </c>
      <c r="P9" s="38">
        <f t="shared" si="1"/>
        <v>7</v>
      </c>
      <c r="Q9" s="38">
        <f t="shared" si="1"/>
        <v>8</v>
      </c>
      <c r="R9" s="38">
        <f t="shared" si="1"/>
        <v>10</v>
      </c>
      <c r="S9" s="38">
        <f t="shared" si="1"/>
        <v>9</v>
      </c>
      <c r="T9" s="41"/>
      <c r="U9" s="41"/>
      <c r="V9" s="41"/>
      <c r="W9" s="41"/>
      <c r="X9" s="41"/>
      <c r="Y9" s="41"/>
    </row>
    <row r="10">
      <c r="A10" s="42" t="s">
        <v>24</v>
      </c>
      <c r="B10" s="43">
        <f t="shared" ref="B10:S10" si="2">IFERROR(B9/B7, 0)</f>
        <v>0.05084745763</v>
      </c>
      <c r="C10" s="43">
        <f t="shared" si="2"/>
        <v>0.05223880597</v>
      </c>
      <c r="D10" s="43">
        <f t="shared" si="2"/>
        <v>0.1111111111</v>
      </c>
      <c r="E10" s="43">
        <f t="shared" si="2"/>
        <v>0.01342281879</v>
      </c>
      <c r="F10" s="43">
        <f t="shared" si="2"/>
        <v>0.0275862069</v>
      </c>
      <c r="G10" s="43">
        <f t="shared" si="2"/>
        <v>0.02013422819</v>
      </c>
      <c r="H10" s="43">
        <f t="shared" si="2"/>
        <v>0.09345794393</v>
      </c>
      <c r="I10" s="43">
        <f t="shared" si="2"/>
        <v>0.09574468085</v>
      </c>
      <c r="J10" s="43">
        <f t="shared" si="2"/>
        <v>0.06493506494</v>
      </c>
      <c r="K10" s="43">
        <f t="shared" si="2"/>
        <v>0.1467889908</v>
      </c>
      <c r="L10" s="43">
        <f t="shared" si="2"/>
        <v>0</v>
      </c>
      <c r="M10" s="43">
        <f t="shared" si="2"/>
        <v>0.1081081081</v>
      </c>
      <c r="N10" s="43">
        <f t="shared" si="2"/>
        <v>0.07954545455</v>
      </c>
      <c r="O10" s="43">
        <f t="shared" si="2"/>
        <v>0.1</v>
      </c>
      <c r="P10" s="43">
        <f t="shared" si="2"/>
        <v>0.04069767442</v>
      </c>
      <c r="Q10" s="43">
        <f t="shared" si="2"/>
        <v>0.04761904762</v>
      </c>
      <c r="R10" s="43">
        <f t="shared" si="2"/>
        <v>0.05917159763</v>
      </c>
      <c r="S10" s="43">
        <f t="shared" si="2"/>
        <v>0.05487804878</v>
      </c>
      <c r="T10" s="45"/>
      <c r="U10" s="45"/>
      <c r="V10" s="45"/>
      <c r="W10" s="45"/>
      <c r="X10" s="45"/>
      <c r="Y10" s="45"/>
    </row>
    <row r="11">
      <c r="A11" s="40"/>
      <c r="B11" s="46"/>
      <c r="C11" s="40"/>
      <c r="D11" s="40"/>
      <c r="E11" s="40"/>
      <c r="F11" s="40"/>
      <c r="G11" s="40"/>
      <c r="H11" s="40"/>
      <c r="I11" s="40"/>
      <c r="J11" s="40"/>
      <c r="K11" s="40"/>
      <c r="L11" s="40"/>
      <c r="M11" s="40"/>
      <c r="N11" s="40"/>
      <c r="O11" s="40"/>
      <c r="P11" s="40"/>
      <c r="Q11" s="40"/>
      <c r="R11" s="40"/>
      <c r="S11" s="47"/>
      <c r="T11" s="40"/>
      <c r="U11" s="40"/>
      <c r="V11" s="40"/>
      <c r="W11" s="40"/>
      <c r="X11" s="40"/>
      <c r="Y11" s="40"/>
    </row>
    <row r="12">
      <c r="A12" s="48" t="s">
        <v>25</v>
      </c>
      <c r="B12" s="49">
        <v>16.0</v>
      </c>
      <c r="C12" s="50">
        <v>6.0</v>
      </c>
      <c r="D12" s="50">
        <v>11.0</v>
      </c>
      <c r="E12" s="50">
        <v>9.0</v>
      </c>
      <c r="F12" s="50">
        <v>7.0</v>
      </c>
      <c r="G12" s="50">
        <v>4.0</v>
      </c>
      <c r="H12" s="50">
        <v>20.0</v>
      </c>
      <c r="I12" s="50">
        <v>10.0</v>
      </c>
      <c r="J12" s="50">
        <v>15.0</v>
      </c>
      <c r="K12" s="50">
        <v>39.0</v>
      </c>
      <c r="L12" s="50">
        <v>10.0</v>
      </c>
      <c r="M12" s="50">
        <v>13.0</v>
      </c>
      <c r="N12" s="50">
        <v>15.0</v>
      </c>
      <c r="O12" s="50">
        <v>11.0</v>
      </c>
      <c r="P12" s="50">
        <v>12.0</v>
      </c>
      <c r="Q12" s="50">
        <v>13.0</v>
      </c>
      <c r="R12" s="51">
        <v>6.0</v>
      </c>
      <c r="S12" s="52">
        <v>10.0</v>
      </c>
      <c r="T12" s="50"/>
      <c r="U12" s="50"/>
      <c r="V12" s="50"/>
      <c r="W12" s="50"/>
      <c r="X12" s="50"/>
      <c r="Y12" s="50"/>
    </row>
    <row r="13">
      <c r="A13" s="53" t="s">
        <v>26</v>
      </c>
      <c r="B13" s="54"/>
      <c r="C13" s="55"/>
      <c r="D13" s="55"/>
      <c r="E13" s="55"/>
      <c r="F13" s="55"/>
      <c r="G13" s="55"/>
      <c r="H13" s="55">
        <v>10.0</v>
      </c>
      <c r="I13" s="55"/>
      <c r="J13" s="55"/>
      <c r="K13" s="55"/>
      <c r="L13" s="55"/>
      <c r="M13" s="55"/>
      <c r="N13" s="55"/>
      <c r="O13" s="55"/>
      <c r="P13" s="55"/>
      <c r="Q13" s="55"/>
      <c r="R13" s="56"/>
      <c r="S13" s="57"/>
      <c r="T13" s="55"/>
      <c r="U13" s="55"/>
      <c r="V13" s="55"/>
      <c r="W13" s="55"/>
      <c r="X13" s="55"/>
      <c r="Y13" s="55"/>
    </row>
    <row r="14">
      <c r="A14" s="58" t="s">
        <v>27</v>
      </c>
      <c r="B14" s="59"/>
      <c r="C14" s="60"/>
      <c r="D14" s="60"/>
      <c r="E14" s="60"/>
      <c r="F14" s="60"/>
      <c r="G14" s="60"/>
      <c r="H14" s="60">
        <f>H12-H13</f>
        <v>10</v>
      </c>
      <c r="I14" s="60"/>
      <c r="J14" s="60"/>
      <c r="K14" s="60"/>
      <c r="L14" s="60"/>
      <c r="M14" s="60"/>
      <c r="N14" s="60"/>
      <c r="O14" s="60"/>
      <c r="P14" s="60"/>
      <c r="Q14" s="60"/>
      <c r="R14" s="61"/>
      <c r="S14" s="62"/>
      <c r="T14" s="60"/>
      <c r="U14" s="60"/>
      <c r="V14" s="60"/>
      <c r="W14" s="60"/>
      <c r="X14" s="60"/>
      <c r="Y14" s="60"/>
    </row>
    <row r="15">
      <c r="A15" s="56"/>
      <c r="B15" s="63"/>
      <c r="C15" s="56"/>
      <c r="D15" s="56"/>
      <c r="E15" s="56"/>
      <c r="F15" s="56"/>
      <c r="G15" s="56"/>
      <c r="H15" s="56"/>
      <c r="I15" s="56"/>
      <c r="J15" s="56"/>
      <c r="K15" s="56"/>
      <c r="L15" s="56"/>
      <c r="M15" s="56"/>
      <c r="N15" s="56"/>
      <c r="O15" s="56"/>
      <c r="P15" s="56"/>
      <c r="Q15" s="56"/>
      <c r="R15" s="56"/>
      <c r="S15" s="64"/>
      <c r="T15" s="56"/>
      <c r="U15" s="56"/>
      <c r="V15" s="56"/>
      <c r="W15" s="56"/>
      <c r="X15" s="56"/>
      <c r="Y15" s="56"/>
    </row>
    <row r="16">
      <c r="A16" s="65" t="s">
        <v>28</v>
      </c>
      <c r="B16" s="66"/>
      <c r="C16" s="65"/>
      <c r="D16" s="65"/>
      <c r="E16" s="65"/>
      <c r="F16" s="65"/>
      <c r="G16" s="65"/>
      <c r="H16" s="65"/>
      <c r="I16" s="65"/>
      <c r="J16" s="65"/>
      <c r="K16" s="65"/>
      <c r="L16" s="65"/>
      <c r="M16" s="65"/>
      <c r="N16" s="65"/>
      <c r="O16" s="65"/>
      <c r="P16" s="65"/>
      <c r="Q16" s="65"/>
      <c r="R16" s="67"/>
      <c r="S16" s="68"/>
      <c r="T16" s="65"/>
      <c r="U16" s="65"/>
      <c r="V16" s="65"/>
      <c r="W16" s="65"/>
      <c r="X16" s="65"/>
      <c r="Y16" s="65"/>
    </row>
    <row r="17">
      <c r="A17" s="65" t="s">
        <v>29</v>
      </c>
      <c r="B17" s="66"/>
      <c r="C17" s="65"/>
      <c r="D17" s="65"/>
      <c r="E17" s="65"/>
      <c r="F17" s="65"/>
      <c r="G17" s="65"/>
      <c r="H17" s="65"/>
      <c r="I17" s="65"/>
      <c r="J17" s="65"/>
      <c r="K17" s="65"/>
      <c r="L17" s="65"/>
      <c r="M17" s="65"/>
      <c r="N17" s="65"/>
      <c r="O17" s="65"/>
      <c r="P17" s="65"/>
      <c r="Q17" s="65"/>
      <c r="R17" s="67"/>
      <c r="S17" s="68"/>
      <c r="T17" s="65"/>
      <c r="U17" s="65"/>
      <c r="V17" s="65"/>
      <c r="W17" s="65"/>
      <c r="X17" s="65"/>
      <c r="Y17" s="65"/>
    </row>
    <row r="18">
      <c r="A18" s="69" t="s">
        <v>30</v>
      </c>
      <c r="B18" s="70">
        <v>69.0</v>
      </c>
      <c r="C18" s="69">
        <v>18.0</v>
      </c>
      <c r="D18" s="69">
        <v>51.0</v>
      </c>
      <c r="E18" s="69">
        <v>34.0</v>
      </c>
      <c r="F18" s="69">
        <v>37.0</v>
      </c>
      <c r="G18" s="69">
        <v>21.0</v>
      </c>
      <c r="H18" s="69">
        <v>102.0</v>
      </c>
      <c r="I18" s="69">
        <v>43.0</v>
      </c>
      <c r="J18" s="69">
        <v>53.0</v>
      </c>
      <c r="K18" s="69">
        <v>94.0</v>
      </c>
      <c r="L18" s="69">
        <v>68.0</v>
      </c>
      <c r="M18" s="69">
        <v>71.0</v>
      </c>
      <c r="N18" s="69">
        <v>70.0</v>
      </c>
      <c r="O18" s="69">
        <v>35.0</v>
      </c>
      <c r="P18" s="69">
        <v>66.0</v>
      </c>
      <c r="Q18" s="69">
        <v>46.0</v>
      </c>
      <c r="R18" s="69">
        <v>40.0</v>
      </c>
      <c r="S18" s="71">
        <v>50.0</v>
      </c>
      <c r="T18" s="69"/>
      <c r="U18" s="69"/>
      <c r="V18" s="69"/>
      <c r="W18" s="69"/>
      <c r="X18" s="69"/>
      <c r="Y18" s="72"/>
      <c r="Z18" s="73"/>
      <c r="AA18" s="73"/>
      <c r="AB18" s="73"/>
      <c r="AC18" s="73"/>
      <c r="AD18" s="73"/>
      <c r="AE18" s="73"/>
      <c r="AF18" s="73"/>
      <c r="AG18" s="73"/>
      <c r="AH18" s="73"/>
      <c r="AI18" s="73"/>
      <c r="AJ18" s="73"/>
      <c r="AK18" s="73"/>
      <c r="AL18" s="73"/>
      <c r="AM18" s="73"/>
      <c r="AN18" s="73"/>
    </row>
    <row r="19">
      <c r="A19" s="74" t="s">
        <v>31</v>
      </c>
      <c r="B19" s="75">
        <v>114.0</v>
      </c>
      <c r="C19" s="74">
        <v>54.0</v>
      </c>
      <c r="D19" s="74">
        <v>111.0</v>
      </c>
      <c r="E19" s="74">
        <v>110.0</v>
      </c>
      <c r="F19" s="74">
        <v>110.0</v>
      </c>
      <c r="G19" s="74">
        <v>77.0</v>
      </c>
      <c r="H19" s="74">
        <v>177.0</v>
      </c>
      <c r="I19" s="74">
        <v>136.0</v>
      </c>
      <c r="J19" s="74">
        <v>137.0</v>
      </c>
      <c r="K19" s="74">
        <v>175.0</v>
      </c>
      <c r="L19" s="74">
        <v>121.0</v>
      </c>
      <c r="M19" s="74">
        <v>157.0</v>
      </c>
      <c r="N19" s="74">
        <v>144.0</v>
      </c>
      <c r="O19" s="69">
        <v>102.0</v>
      </c>
      <c r="P19" s="74">
        <v>145.0</v>
      </c>
      <c r="Q19" s="74">
        <v>108.0</v>
      </c>
      <c r="R19" s="74">
        <v>110.0</v>
      </c>
      <c r="S19" s="76">
        <v>112.0</v>
      </c>
      <c r="T19" s="74"/>
      <c r="U19" s="74"/>
      <c r="V19" s="74"/>
      <c r="W19" s="74"/>
      <c r="X19" s="74"/>
      <c r="Y19" s="77"/>
      <c r="Z19" s="78"/>
      <c r="AA19" s="78"/>
      <c r="AB19" s="78"/>
      <c r="AC19" s="78"/>
      <c r="AD19" s="78"/>
      <c r="AE19" s="78"/>
      <c r="AF19" s="78"/>
      <c r="AG19" s="78"/>
      <c r="AH19" s="78"/>
      <c r="AI19" s="78"/>
      <c r="AJ19" s="78"/>
      <c r="AK19" s="78"/>
      <c r="AL19" s="78"/>
      <c r="AM19" s="78"/>
      <c r="AN19" s="78"/>
    </row>
    <row r="20">
      <c r="A20" s="69" t="s">
        <v>32</v>
      </c>
      <c r="B20" s="70">
        <v>24.0</v>
      </c>
      <c r="C20" s="69">
        <v>15.0</v>
      </c>
      <c r="D20" s="69">
        <v>34.0</v>
      </c>
      <c r="E20" s="69">
        <v>21.0</v>
      </c>
      <c r="F20" s="69">
        <v>20.0</v>
      </c>
      <c r="G20" s="69">
        <v>12.0</v>
      </c>
      <c r="H20" s="69">
        <v>86.0</v>
      </c>
      <c r="I20" s="69">
        <v>32.0</v>
      </c>
      <c r="J20" s="69">
        <v>40.0</v>
      </c>
      <c r="K20" s="69">
        <v>67.0</v>
      </c>
      <c r="L20" s="69">
        <v>61.0</v>
      </c>
      <c r="M20" s="69">
        <v>38.0</v>
      </c>
      <c r="N20" s="69">
        <v>64.0</v>
      </c>
      <c r="O20" s="69">
        <v>23.0</v>
      </c>
      <c r="P20" s="69">
        <v>41.0</v>
      </c>
      <c r="Q20" s="69">
        <v>28.0</v>
      </c>
      <c r="R20" s="69">
        <v>36.0</v>
      </c>
      <c r="S20" s="71">
        <v>20.0</v>
      </c>
      <c r="T20" s="69"/>
      <c r="U20" s="69"/>
      <c r="V20" s="69"/>
      <c r="W20" s="69"/>
      <c r="X20" s="69"/>
      <c r="Y20" s="72"/>
      <c r="Z20" s="73"/>
      <c r="AA20" s="73"/>
      <c r="AB20" s="73"/>
      <c r="AC20" s="73"/>
      <c r="AD20" s="73"/>
      <c r="AE20" s="73"/>
      <c r="AF20" s="73"/>
      <c r="AG20" s="73"/>
      <c r="AH20" s="73"/>
      <c r="AI20" s="73"/>
      <c r="AJ20" s="73"/>
      <c r="AK20" s="73"/>
      <c r="AL20" s="73"/>
      <c r="AM20" s="73"/>
      <c r="AN20" s="73"/>
    </row>
    <row r="21">
      <c r="A21" s="79" t="s">
        <v>33</v>
      </c>
      <c r="B21" s="80">
        <f t="shared" ref="B21:S21" si="3">B7-B19</f>
        <v>4</v>
      </c>
      <c r="C21" s="80">
        <f t="shared" si="3"/>
        <v>80</v>
      </c>
      <c r="D21" s="80">
        <f t="shared" si="3"/>
        <v>15</v>
      </c>
      <c r="E21" s="80">
        <f t="shared" si="3"/>
        <v>39</v>
      </c>
      <c r="F21" s="80">
        <f t="shared" si="3"/>
        <v>35</v>
      </c>
      <c r="G21" s="80">
        <f t="shared" si="3"/>
        <v>72</v>
      </c>
      <c r="H21" s="80">
        <f t="shared" si="3"/>
        <v>37</v>
      </c>
      <c r="I21" s="80">
        <f t="shared" si="3"/>
        <v>52</v>
      </c>
      <c r="J21" s="80">
        <f t="shared" si="3"/>
        <v>17</v>
      </c>
      <c r="K21" s="80">
        <f t="shared" si="3"/>
        <v>43</v>
      </c>
      <c r="L21" s="80">
        <f t="shared" si="3"/>
        <v>40</v>
      </c>
      <c r="M21" s="80">
        <f t="shared" si="3"/>
        <v>28</v>
      </c>
      <c r="N21" s="80">
        <f t="shared" si="3"/>
        <v>32</v>
      </c>
      <c r="O21" s="80">
        <f t="shared" si="3"/>
        <v>28</v>
      </c>
      <c r="P21" s="80">
        <f t="shared" si="3"/>
        <v>27</v>
      </c>
      <c r="Q21" s="80">
        <f t="shared" si="3"/>
        <v>60</v>
      </c>
      <c r="R21" s="80">
        <f t="shared" si="3"/>
        <v>59</v>
      </c>
      <c r="S21" s="80">
        <f t="shared" si="3"/>
        <v>52</v>
      </c>
      <c r="T21" s="79"/>
      <c r="U21" s="79"/>
      <c r="V21" s="79"/>
      <c r="W21" s="79"/>
      <c r="X21" s="79"/>
      <c r="Y21" s="79"/>
    </row>
    <row r="22">
      <c r="A22" s="82" t="s">
        <v>34</v>
      </c>
      <c r="B22" s="83">
        <v>68.0</v>
      </c>
      <c r="C22" s="83">
        <v>83.0</v>
      </c>
      <c r="D22" s="85">
        <v>53.0</v>
      </c>
      <c r="E22" s="85">
        <v>64.0</v>
      </c>
      <c r="F22" s="85">
        <v>70.0</v>
      </c>
      <c r="G22" s="85">
        <v>69.0</v>
      </c>
      <c r="H22" s="85">
        <v>99.0</v>
      </c>
      <c r="I22" s="85">
        <v>68.0</v>
      </c>
      <c r="J22" s="85">
        <v>59.0</v>
      </c>
      <c r="K22" s="85">
        <v>94.0</v>
      </c>
      <c r="L22" s="85">
        <v>75.0</v>
      </c>
      <c r="M22" s="85">
        <v>68.0</v>
      </c>
      <c r="N22" s="85">
        <v>77.0</v>
      </c>
      <c r="O22" s="69">
        <v>46.0</v>
      </c>
      <c r="P22" s="85">
        <v>73.0</v>
      </c>
      <c r="Q22" s="85">
        <v>91.0</v>
      </c>
      <c r="R22" s="85">
        <v>82.0</v>
      </c>
      <c r="S22" s="86">
        <v>73.0</v>
      </c>
      <c r="T22" s="85"/>
      <c r="U22" s="85"/>
      <c r="V22" s="85"/>
      <c r="W22" s="85"/>
      <c r="X22" s="85"/>
      <c r="Y22" s="87"/>
      <c r="Z22" s="87"/>
      <c r="AA22" s="88"/>
      <c r="AB22" s="88"/>
      <c r="AC22" s="88"/>
      <c r="AD22" s="88"/>
      <c r="AE22" s="88"/>
      <c r="AF22" s="88"/>
      <c r="AG22" s="88"/>
      <c r="AH22" s="88"/>
      <c r="AI22" s="88"/>
      <c r="AJ22" s="88"/>
      <c r="AK22" s="89"/>
      <c r="AL22" s="88"/>
      <c r="AM22" s="88"/>
      <c r="AN22" s="88"/>
    </row>
    <row r="23">
      <c r="A23" s="90" t="s">
        <v>35</v>
      </c>
      <c r="B23" s="396" t="s">
        <v>732</v>
      </c>
      <c r="C23" s="396" t="s">
        <v>733</v>
      </c>
      <c r="D23" s="396" t="s">
        <v>734</v>
      </c>
      <c r="E23" s="396" t="s">
        <v>735</v>
      </c>
      <c r="F23" s="396" t="s">
        <v>736</v>
      </c>
      <c r="G23" s="396" t="s">
        <v>737</v>
      </c>
      <c r="H23" s="397" t="s">
        <v>738</v>
      </c>
      <c r="I23" s="397" t="s">
        <v>739</v>
      </c>
      <c r="J23" s="397" t="s">
        <v>740</v>
      </c>
      <c r="K23" s="477" t="s">
        <v>741</v>
      </c>
      <c r="L23" s="397" t="s">
        <v>742</v>
      </c>
      <c r="M23" s="397" t="s">
        <v>743</v>
      </c>
      <c r="N23" s="397" t="s">
        <v>744</v>
      </c>
      <c r="O23" s="478" t="s">
        <v>745</v>
      </c>
      <c r="P23" s="479" t="s">
        <v>746</v>
      </c>
      <c r="Q23" s="396" t="s">
        <v>747</v>
      </c>
      <c r="R23" s="396" t="s">
        <v>748</v>
      </c>
      <c r="S23" s="398" t="s">
        <v>749</v>
      </c>
      <c r="T23" s="91"/>
      <c r="U23" s="91"/>
      <c r="V23" s="91"/>
      <c r="W23" s="91"/>
      <c r="X23" s="91"/>
      <c r="Y23" s="91"/>
      <c r="Z23" s="94"/>
      <c r="AA23" s="95"/>
      <c r="AB23" s="95"/>
      <c r="AC23" s="95"/>
      <c r="AD23" s="95"/>
      <c r="AE23" s="95"/>
      <c r="AF23" s="95"/>
      <c r="AG23" s="95"/>
      <c r="AH23" s="95"/>
      <c r="AI23" s="95"/>
      <c r="AJ23" s="95"/>
      <c r="AK23" s="95"/>
      <c r="AL23" s="95"/>
      <c r="AM23" s="95"/>
      <c r="AN23" s="95"/>
    </row>
    <row r="24">
      <c r="A24" s="96" t="s">
        <v>36</v>
      </c>
      <c r="B24" s="97">
        <v>0.0</v>
      </c>
      <c r="C24" s="98">
        <v>0.0</v>
      </c>
      <c r="D24" s="98">
        <v>0.0</v>
      </c>
      <c r="E24" s="97">
        <v>0.0</v>
      </c>
      <c r="F24" s="97">
        <v>0.0</v>
      </c>
      <c r="G24" s="98">
        <v>0.0</v>
      </c>
      <c r="H24" s="97">
        <v>1.0</v>
      </c>
      <c r="I24" s="97">
        <v>1.0</v>
      </c>
      <c r="J24" s="97">
        <v>1.0</v>
      </c>
      <c r="K24" s="97">
        <v>1.0</v>
      </c>
      <c r="L24" s="97">
        <v>1.0</v>
      </c>
      <c r="M24" s="97">
        <v>1.0</v>
      </c>
      <c r="N24" s="97">
        <v>1.0</v>
      </c>
      <c r="O24" s="97">
        <v>1.0</v>
      </c>
      <c r="P24" s="97">
        <v>1.0</v>
      </c>
      <c r="Q24" s="98">
        <v>0.0</v>
      </c>
      <c r="R24" s="98">
        <v>0.0</v>
      </c>
      <c r="S24" s="98">
        <v>0.0</v>
      </c>
      <c r="T24" s="98">
        <v>0.0</v>
      </c>
      <c r="U24" s="98">
        <v>0.0</v>
      </c>
      <c r="V24" s="98">
        <v>0.0</v>
      </c>
      <c r="W24" s="98">
        <v>0.0</v>
      </c>
      <c r="X24" s="98">
        <v>0.0</v>
      </c>
      <c r="Y24" s="98">
        <v>0.0</v>
      </c>
      <c r="Z24" s="99"/>
      <c r="AA24" s="100"/>
      <c r="AB24" s="100"/>
      <c r="AC24" s="100"/>
      <c r="AD24" s="100"/>
      <c r="AE24" s="100"/>
      <c r="AF24" s="100"/>
      <c r="AG24" s="100"/>
      <c r="AH24" s="100"/>
      <c r="AI24" s="100"/>
      <c r="AJ24" s="100"/>
      <c r="AK24" s="100"/>
      <c r="AL24" s="100"/>
      <c r="AM24" s="100"/>
      <c r="AN24" s="100"/>
    </row>
    <row r="25">
      <c r="A25" s="101" t="s">
        <v>37</v>
      </c>
      <c r="B25" s="102">
        <f t="shared" ref="B25:S25" si="4">IFERROR(B19/B8, 0)</f>
        <v>1.017857143</v>
      </c>
      <c r="C25" s="102">
        <f t="shared" si="4"/>
        <v>0.4251968504</v>
      </c>
      <c r="D25" s="102">
        <f t="shared" si="4"/>
        <v>0.9910714286</v>
      </c>
      <c r="E25" s="102">
        <f t="shared" si="4"/>
        <v>0.7482993197</v>
      </c>
      <c r="F25" s="102">
        <f t="shared" si="4"/>
        <v>0.780141844</v>
      </c>
      <c r="G25" s="102">
        <f t="shared" si="4"/>
        <v>0.5273972603</v>
      </c>
      <c r="H25" s="102">
        <f t="shared" si="4"/>
        <v>0.912371134</v>
      </c>
      <c r="I25" s="102">
        <f t="shared" si="4"/>
        <v>0.8</v>
      </c>
      <c r="J25" s="102">
        <f t="shared" si="4"/>
        <v>0.9513888889</v>
      </c>
      <c r="K25" s="102">
        <f t="shared" si="4"/>
        <v>0.9408602151</v>
      </c>
      <c r="L25" s="102">
        <f t="shared" si="4"/>
        <v>0.751552795</v>
      </c>
      <c r="M25" s="102">
        <f t="shared" si="4"/>
        <v>0.9515151515</v>
      </c>
      <c r="N25" s="102">
        <f t="shared" si="4"/>
        <v>0.8888888889</v>
      </c>
      <c r="O25" s="102">
        <f t="shared" si="4"/>
        <v>0.8717948718</v>
      </c>
      <c r="P25" s="102">
        <f t="shared" si="4"/>
        <v>0.8787878788</v>
      </c>
      <c r="Q25" s="102">
        <f t="shared" si="4"/>
        <v>0.675</v>
      </c>
      <c r="R25" s="102">
        <f t="shared" si="4"/>
        <v>0.6918238994</v>
      </c>
      <c r="S25" s="102">
        <f t="shared" si="4"/>
        <v>0.7225806452</v>
      </c>
      <c r="T25" s="103"/>
      <c r="U25" s="103"/>
      <c r="V25" s="103"/>
      <c r="W25" s="103"/>
      <c r="X25" s="103"/>
      <c r="Y25" s="103"/>
    </row>
    <row r="26">
      <c r="A26" s="105" t="s">
        <v>38</v>
      </c>
      <c r="B26" s="106">
        <f t="shared" ref="B26:S26" si="5">IFERROR(B12/B18, 0)</f>
        <v>0.231884058</v>
      </c>
      <c r="C26" s="106">
        <f t="shared" si="5"/>
        <v>0.3333333333</v>
      </c>
      <c r="D26" s="106">
        <f t="shared" si="5"/>
        <v>0.2156862745</v>
      </c>
      <c r="E26" s="106">
        <f t="shared" si="5"/>
        <v>0.2647058824</v>
      </c>
      <c r="F26" s="106">
        <f t="shared" si="5"/>
        <v>0.1891891892</v>
      </c>
      <c r="G26" s="106">
        <f t="shared" si="5"/>
        <v>0.1904761905</v>
      </c>
      <c r="H26" s="106">
        <f t="shared" si="5"/>
        <v>0.1960784314</v>
      </c>
      <c r="I26" s="106">
        <f t="shared" si="5"/>
        <v>0.2325581395</v>
      </c>
      <c r="J26" s="106">
        <f t="shared" si="5"/>
        <v>0.2830188679</v>
      </c>
      <c r="K26" s="106">
        <f t="shared" si="5"/>
        <v>0.414893617</v>
      </c>
      <c r="L26" s="106">
        <f t="shared" si="5"/>
        <v>0.1470588235</v>
      </c>
      <c r="M26" s="106">
        <f t="shared" si="5"/>
        <v>0.1830985915</v>
      </c>
      <c r="N26" s="106">
        <f t="shared" si="5"/>
        <v>0.2142857143</v>
      </c>
      <c r="O26" s="106">
        <f t="shared" si="5"/>
        <v>0.3142857143</v>
      </c>
      <c r="P26" s="106">
        <f t="shared" si="5"/>
        <v>0.1818181818</v>
      </c>
      <c r="Q26" s="106">
        <f t="shared" si="5"/>
        <v>0.2826086957</v>
      </c>
      <c r="R26" s="106">
        <f t="shared" si="5"/>
        <v>0.15</v>
      </c>
      <c r="S26" s="106">
        <f t="shared" si="5"/>
        <v>0.2</v>
      </c>
      <c r="T26" s="107"/>
      <c r="U26" s="107"/>
      <c r="V26" s="107"/>
      <c r="W26" s="107"/>
      <c r="X26" s="107"/>
      <c r="Y26" s="107"/>
    </row>
    <row r="27">
      <c r="A27" s="109" t="s">
        <v>39</v>
      </c>
      <c r="B27" s="110">
        <f t="shared" ref="B27:S27" si="6">IFERROR(B20/B18, 0)</f>
        <v>0.347826087</v>
      </c>
      <c r="C27" s="110">
        <f t="shared" si="6"/>
        <v>0.8333333333</v>
      </c>
      <c r="D27" s="110">
        <f t="shared" si="6"/>
        <v>0.6666666667</v>
      </c>
      <c r="E27" s="110">
        <f t="shared" si="6"/>
        <v>0.6176470588</v>
      </c>
      <c r="F27" s="110">
        <f t="shared" si="6"/>
        <v>0.5405405405</v>
      </c>
      <c r="G27" s="110">
        <f t="shared" si="6"/>
        <v>0.5714285714</v>
      </c>
      <c r="H27" s="110">
        <f t="shared" si="6"/>
        <v>0.8431372549</v>
      </c>
      <c r="I27" s="110">
        <f t="shared" si="6"/>
        <v>0.7441860465</v>
      </c>
      <c r="J27" s="110">
        <f t="shared" si="6"/>
        <v>0.7547169811</v>
      </c>
      <c r="K27" s="110">
        <f t="shared" si="6"/>
        <v>0.7127659574</v>
      </c>
      <c r="L27" s="110">
        <f t="shared" si="6"/>
        <v>0.8970588235</v>
      </c>
      <c r="M27" s="110">
        <f t="shared" si="6"/>
        <v>0.5352112676</v>
      </c>
      <c r="N27" s="110">
        <f t="shared" si="6"/>
        <v>0.9142857143</v>
      </c>
      <c r="O27" s="110">
        <f t="shared" si="6"/>
        <v>0.6571428571</v>
      </c>
      <c r="P27" s="110">
        <f t="shared" si="6"/>
        <v>0.6212121212</v>
      </c>
      <c r="Q27" s="110">
        <f t="shared" si="6"/>
        <v>0.6086956522</v>
      </c>
      <c r="R27" s="110">
        <f t="shared" si="6"/>
        <v>0.9</v>
      </c>
      <c r="S27" s="110">
        <f t="shared" si="6"/>
        <v>0.4</v>
      </c>
      <c r="T27" s="110"/>
      <c r="U27" s="110"/>
      <c r="V27" s="110"/>
      <c r="W27" s="110"/>
      <c r="X27" s="110"/>
      <c r="Y27" s="110"/>
      <c r="Z27" s="112"/>
      <c r="AA27" s="113"/>
      <c r="AB27" s="113"/>
      <c r="AC27" s="113"/>
      <c r="AD27" s="113"/>
      <c r="AE27" s="113"/>
      <c r="AF27" s="113"/>
      <c r="AG27" s="113"/>
      <c r="AH27" s="113"/>
      <c r="AI27" s="113"/>
      <c r="AJ27" s="113"/>
      <c r="AK27" s="113"/>
      <c r="AL27" s="113"/>
      <c r="AM27" s="113"/>
      <c r="AN27" s="113"/>
    </row>
    <row r="28">
      <c r="A28" s="114" t="s">
        <v>40</v>
      </c>
      <c r="B28" s="115">
        <f t="shared" ref="B28:S28" si="7">B22/B8</f>
        <v>0.6071428571</v>
      </c>
      <c r="C28" s="115">
        <f t="shared" si="7"/>
        <v>0.6535433071</v>
      </c>
      <c r="D28" s="115">
        <f t="shared" si="7"/>
        <v>0.4732142857</v>
      </c>
      <c r="E28" s="115">
        <f t="shared" si="7"/>
        <v>0.4353741497</v>
      </c>
      <c r="F28" s="115">
        <f t="shared" si="7"/>
        <v>0.4964539007</v>
      </c>
      <c r="G28" s="115">
        <f t="shared" si="7"/>
        <v>0.4726027397</v>
      </c>
      <c r="H28" s="115">
        <f t="shared" si="7"/>
        <v>0.5103092784</v>
      </c>
      <c r="I28" s="115">
        <f t="shared" si="7"/>
        <v>0.4</v>
      </c>
      <c r="J28" s="115">
        <f t="shared" si="7"/>
        <v>0.4097222222</v>
      </c>
      <c r="K28" s="115">
        <f t="shared" si="7"/>
        <v>0.5053763441</v>
      </c>
      <c r="L28" s="115">
        <f t="shared" si="7"/>
        <v>0.4658385093</v>
      </c>
      <c r="M28" s="115">
        <f t="shared" si="7"/>
        <v>0.4121212121</v>
      </c>
      <c r="N28" s="115">
        <f t="shared" si="7"/>
        <v>0.475308642</v>
      </c>
      <c r="O28" s="115">
        <f t="shared" si="7"/>
        <v>0.3931623932</v>
      </c>
      <c r="P28" s="115">
        <f t="shared" si="7"/>
        <v>0.4424242424</v>
      </c>
      <c r="Q28" s="115">
        <f t="shared" si="7"/>
        <v>0.56875</v>
      </c>
      <c r="R28" s="115">
        <f t="shared" si="7"/>
        <v>0.5157232704</v>
      </c>
      <c r="S28" s="115">
        <f t="shared" si="7"/>
        <v>0.4709677419</v>
      </c>
      <c r="T28" s="115"/>
      <c r="U28" s="115"/>
      <c r="V28" s="115"/>
      <c r="W28" s="115"/>
      <c r="X28" s="115"/>
      <c r="Y28" s="115"/>
      <c r="Z28" s="112"/>
      <c r="AA28" s="113"/>
      <c r="AB28" s="113"/>
      <c r="AC28" s="113"/>
      <c r="AD28" s="113"/>
      <c r="AE28" s="113"/>
      <c r="AF28" s="113"/>
      <c r="AG28" s="113"/>
      <c r="AH28" s="113"/>
      <c r="AI28" s="113"/>
      <c r="AJ28" s="113"/>
      <c r="AK28" s="113"/>
      <c r="AL28" s="113"/>
      <c r="AM28" s="113"/>
      <c r="AN28" s="113"/>
    </row>
    <row r="29">
      <c r="A29" s="117" t="s">
        <v>41</v>
      </c>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21"/>
      <c r="AA29" s="121"/>
      <c r="AB29" s="121"/>
      <c r="AC29" s="121"/>
      <c r="AD29" s="121"/>
      <c r="AE29" s="99"/>
      <c r="AF29" s="99"/>
      <c r="AG29" s="99"/>
      <c r="AH29" s="99"/>
      <c r="AI29" s="99"/>
      <c r="AJ29" s="99"/>
      <c r="AK29" s="99"/>
      <c r="AL29" s="99"/>
      <c r="AM29" s="99"/>
      <c r="AN29" s="99"/>
    </row>
    <row r="30">
      <c r="A30" s="184" t="s">
        <v>141</v>
      </c>
      <c r="B30" s="185">
        <f t="shared" ref="B30:Y30" si="8">B64/B8</f>
        <v>0</v>
      </c>
      <c r="C30" s="185">
        <f t="shared" si="8"/>
        <v>0</v>
      </c>
      <c r="D30" s="185">
        <f t="shared" si="8"/>
        <v>0</v>
      </c>
      <c r="E30" s="185">
        <f t="shared" si="8"/>
        <v>0</v>
      </c>
      <c r="F30" s="185">
        <f t="shared" si="8"/>
        <v>0</v>
      </c>
      <c r="G30" s="185">
        <f t="shared" si="8"/>
        <v>0</v>
      </c>
      <c r="H30" s="185">
        <f t="shared" si="8"/>
        <v>0</v>
      </c>
      <c r="I30" s="185">
        <f t="shared" si="8"/>
        <v>0</v>
      </c>
      <c r="J30" s="185">
        <f t="shared" si="8"/>
        <v>0</v>
      </c>
      <c r="K30" s="185">
        <f t="shared" si="8"/>
        <v>0</v>
      </c>
      <c r="L30" s="185">
        <f t="shared" si="8"/>
        <v>0</v>
      </c>
      <c r="M30" s="185">
        <f t="shared" si="8"/>
        <v>0</v>
      </c>
      <c r="N30" s="185">
        <f t="shared" si="8"/>
        <v>0</v>
      </c>
      <c r="O30" s="185">
        <f t="shared" si="8"/>
        <v>0</v>
      </c>
      <c r="P30" s="185">
        <f t="shared" si="8"/>
        <v>0</v>
      </c>
      <c r="Q30" s="185">
        <f t="shared" si="8"/>
        <v>0</v>
      </c>
      <c r="R30" s="185">
        <f t="shared" si="8"/>
        <v>0</v>
      </c>
      <c r="S30" s="185">
        <f t="shared" si="8"/>
        <v>0</v>
      </c>
      <c r="T30" s="185" t="str">
        <f t="shared" si="8"/>
        <v>#DIV/0!</v>
      </c>
      <c r="U30" s="185" t="str">
        <f t="shared" si="8"/>
        <v>#DIV/0!</v>
      </c>
      <c r="V30" s="185" t="str">
        <f t="shared" si="8"/>
        <v>#DIV/0!</v>
      </c>
      <c r="W30" s="185" t="str">
        <f t="shared" si="8"/>
        <v>#DIV/0!</v>
      </c>
      <c r="X30" s="185" t="str">
        <f t="shared" si="8"/>
        <v>#DIV/0!</v>
      </c>
      <c r="Y30" s="185" t="str">
        <f t="shared" si="8"/>
        <v>#DIV/0!</v>
      </c>
      <c r="Z30" s="240"/>
      <c r="AA30" s="240"/>
      <c r="AB30" s="240"/>
      <c r="AC30" s="186"/>
      <c r="AD30" s="186"/>
      <c r="AE30" s="186"/>
      <c r="AF30" s="186"/>
      <c r="AG30" s="186"/>
      <c r="AH30" s="186"/>
      <c r="AI30" s="186"/>
      <c r="AJ30" s="186"/>
      <c r="AK30" s="186"/>
      <c r="AL30" s="186"/>
      <c r="AM30" s="186"/>
      <c r="AN30" s="186"/>
    </row>
    <row r="31">
      <c r="A31" s="187" t="s">
        <v>42</v>
      </c>
      <c r="B31" s="191">
        <v>0.29</v>
      </c>
      <c r="C31" s="191">
        <v>0.4</v>
      </c>
      <c r="D31" s="191">
        <v>0.375</v>
      </c>
      <c r="E31" s="191">
        <v>0.27</v>
      </c>
      <c r="F31" s="185">
        <f>53/F8</f>
        <v>0.3758865248</v>
      </c>
      <c r="G31" s="191">
        <v>0.27</v>
      </c>
      <c r="H31" s="185">
        <f>69/H8</f>
        <v>0.3556701031</v>
      </c>
      <c r="I31" s="185">
        <f>24/I8</f>
        <v>0.1411764706</v>
      </c>
      <c r="J31" s="185">
        <f>19/sum(J36:J41)</f>
        <v>0.2065217391</v>
      </c>
      <c r="K31" s="185">
        <f>36/sum(K36:K41)</f>
        <v>0.2857142857</v>
      </c>
      <c r="L31" s="185">
        <f t="shared" ref="L31:P31" si="9">30/sum(L36:L43)</f>
        <v>0.1863354037</v>
      </c>
      <c r="M31" s="185">
        <f t="shared" si="9"/>
        <v>0.1818181818</v>
      </c>
      <c r="N31" s="185">
        <f t="shared" si="9"/>
        <v>0.1851851852</v>
      </c>
      <c r="O31" s="185">
        <f t="shared" si="9"/>
        <v>0.2564102564</v>
      </c>
      <c r="P31" s="185">
        <f t="shared" si="9"/>
        <v>0.1818181818</v>
      </c>
      <c r="Q31" s="185">
        <f>62/sum(Q36:Q43)</f>
        <v>0.3875</v>
      </c>
      <c r="R31" s="185">
        <f t="shared" ref="R31:S31" si="10">64/sum(R36:R43)</f>
        <v>0.4025157233</v>
      </c>
      <c r="S31" s="185">
        <f t="shared" si="10"/>
        <v>0.4129032258</v>
      </c>
      <c r="T31" s="185">
        <v>0.0</v>
      </c>
      <c r="U31" s="185">
        <v>0.0</v>
      </c>
      <c r="V31" s="185">
        <v>0.0</v>
      </c>
      <c r="W31" s="185">
        <v>0.0</v>
      </c>
      <c r="X31" s="185">
        <v>0.0</v>
      </c>
      <c r="Y31" s="185">
        <v>0.0</v>
      </c>
      <c r="Z31" s="188"/>
      <c r="AA31" s="189"/>
      <c r="AB31" s="189"/>
      <c r="AC31" s="189"/>
      <c r="AD31" s="189"/>
      <c r="AE31" s="147"/>
      <c r="AF31" s="147"/>
      <c r="AG31" s="147"/>
      <c r="AH31" s="147"/>
      <c r="AI31" s="147"/>
      <c r="AJ31" s="147"/>
      <c r="AK31" s="147"/>
      <c r="AL31" s="147"/>
      <c r="AM31" s="147"/>
      <c r="AN31" s="147"/>
    </row>
    <row r="32">
      <c r="A32" s="480" t="s">
        <v>750</v>
      </c>
      <c r="B32" s="191">
        <v>1.0</v>
      </c>
      <c r="C32" s="191">
        <v>1.0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91">
        <v>1.0</v>
      </c>
      <c r="S32" s="191">
        <v>1.0</v>
      </c>
      <c r="T32" s="185">
        <v>0.0</v>
      </c>
      <c r="U32" s="185">
        <v>0.0</v>
      </c>
      <c r="V32" s="185">
        <v>0.0</v>
      </c>
      <c r="W32" s="185">
        <v>0.0</v>
      </c>
      <c r="X32" s="185">
        <v>0.0</v>
      </c>
      <c r="Y32" s="185">
        <v>0.0</v>
      </c>
      <c r="Z32" s="189"/>
      <c r="AA32" s="189"/>
      <c r="AB32" s="189"/>
      <c r="AC32" s="189"/>
      <c r="AD32" s="189"/>
      <c r="AE32" s="147"/>
      <c r="AF32" s="147"/>
      <c r="AG32" s="147"/>
      <c r="AH32" s="147"/>
      <c r="AI32" s="147"/>
      <c r="AJ32" s="147"/>
      <c r="AK32" s="147"/>
      <c r="AL32" s="147"/>
      <c r="AM32" s="147"/>
      <c r="AN32" s="147"/>
    </row>
    <row r="33">
      <c r="A33" s="187" t="s">
        <v>44</v>
      </c>
      <c r="B33" s="192">
        <f t="shared" ref="B33:Y33" si="11">(B24*0.7) + (IF(B31 &gt;= 25%, 1, 0)*0.15) + (B32*0.15)</f>
        <v>0.3</v>
      </c>
      <c r="C33" s="192">
        <f t="shared" si="11"/>
        <v>0.3</v>
      </c>
      <c r="D33" s="192">
        <f t="shared" si="11"/>
        <v>0.3</v>
      </c>
      <c r="E33" s="192">
        <f t="shared" si="11"/>
        <v>0.3</v>
      </c>
      <c r="F33" s="192">
        <f t="shared" si="11"/>
        <v>0.3</v>
      </c>
      <c r="G33" s="192">
        <f t="shared" si="11"/>
        <v>0.3</v>
      </c>
      <c r="H33" s="192">
        <f t="shared" si="11"/>
        <v>1</v>
      </c>
      <c r="I33" s="192">
        <f t="shared" si="11"/>
        <v>0.85</v>
      </c>
      <c r="J33" s="192">
        <f t="shared" si="11"/>
        <v>0.85</v>
      </c>
      <c r="K33" s="192">
        <f t="shared" si="11"/>
        <v>1</v>
      </c>
      <c r="L33" s="192">
        <f t="shared" si="11"/>
        <v>0.85</v>
      </c>
      <c r="M33" s="192">
        <f t="shared" si="11"/>
        <v>0.85</v>
      </c>
      <c r="N33" s="192">
        <f t="shared" si="11"/>
        <v>0.85</v>
      </c>
      <c r="O33" s="192">
        <f t="shared" si="11"/>
        <v>1</v>
      </c>
      <c r="P33" s="192">
        <f t="shared" si="11"/>
        <v>0.85</v>
      </c>
      <c r="Q33" s="192">
        <f t="shared" si="11"/>
        <v>0.3</v>
      </c>
      <c r="R33" s="192">
        <f t="shared" si="11"/>
        <v>0.3</v>
      </c>
      <c r="S33" s="192">
        <f t="shared" si="11"/>
        <v>0.3</v>
      </c>
      <c r="T33" s="192">
        <f t="shared" si="11"/>
        <v>0</v>
      </c>
      <c r="U33" s="192">
        <f t="shared" si="11"/>
        <v>0</v>
      </c>
      <c r="V33" s="192">
        <f t="shared" si="11"/>
        <v>0</v>
      </c>
      <c r="W33" s="192">
        <f t="shared" si="11"/>
        <v>0</v>
      </c>
      <c r="X33" s="192">
        <f t="shared" si="11"/>
        <v>0</v>
      </c>
      <c r="Y33" s="192">
        <f t="shared" si="11"/>
        <v>0</v>
      </c>
      <c r="Z33" s="189"/>
      <c r="AA33" s="189"/>
      <c r="AB33" s="189"/>
      <c r="AC33" s="189"/>
      <c r="AD33" s="189"/>
      <c r="AE33" s="147"/>
      <c r="AF33" s="147"/>
      <c r="AG33" s="147"/>
      <c r="AH33" s="147"/>
      <c r="AI33" s="147"/>
      <c r="AJ33" s="147"/>
      <c r="AK33" s="147"/>
      <c r="AL33" s="147"/>
      <c r="AM33" s="147"/>
      <c r="AN33" s="147"/>
    </row>
    <row r="34">
      <c r="A34" s="193" t="s">
        <v>142</v>
      </c>
      <c r="B34" s="194"/>
      <c r="M34" s="195">
        <v>0.0</v>
      </c>
      <c r="N34" s="195">
        <v>0.0</v>
      </c>
      <c r="O34" s="192">
        <v>1.0</v>
      </c>
      <c r="P34" s="195">
        <v>1.0</v>
      </c>
      <c r="Q34" s="195">
        <v>0.0</v>
      </c>
      <c r="R34" s="195">
        <v>0.0</v>
      </c>
      <c r="S34" s="195">
        <v>0.0</v>
      </c>
      <c r="T34" s="192"/>
      <c r="U34" s="192"/>
      <c r="V34" s="192"/>
      <c r="W34" s="192"/>
      <c r="X34" s="192"/>
      <c r="Y34" s="192"/>
    </row>
    <row r="35">
      <c r="A35" s="126" t="s">
        <v>45</v>
      </c>
      <c r="B35" s="127"/>
      <c r="C35" s="128"/>
      <c r="D35" s="128"/>
      <c r="E35" s="128"/>
      <c r="F35" s="128"/>
      <c r="G35" s="128"/>
      <c r="H35" s="128"/>
      <c r="I35" s="128"/>
      <c r="J35" s="128"/>
      <c r="K35" s="128"/>
      <c r="L35" s="128"/>
      <c r="M35" s="128"/>
      <c r="N35" s="128"/>
      <c r="O35" s="128"/>
      <c r="P35" s="128"/>
      <c r="Q35" s="128"/>
      <c r="R35" s="128"/>
      <c r="S35" s="129"/>
      <c r="T35" s="128"/>
      <c r="U35" s="128"/>
      <c r="V35" s="128"/>
      <c r="W35" s="128"/>
      <c r="X35" s="128"/>
      <c r="Y35" s="128"/>
      <c r="Z35" s="128"/>
      <c r="AA35" s="128"/>
      <c r="AB35" s="130"/>
      <c r="AC35" s="130"/>
      <c r="AD35" s="130"/>
      <c r="AE35" s="130"/>
      <c r="AF35" s="130"/>
      <c r="AG35" s="130"/>
      <c r="AH35" s="130"/>
      <c r="AI35" s="130"/>
      <c r="AJ35" s="130"/>
      <c r="AK35" s="130"/>
      <c r="AL35" s="130"/>
      <c r="AM35" s="130"/>
      <c r="AN35" s="130"/>
    </row>
    <row r="36">
      <c r="A36" s="196" t="s">
        <v>751</v>
      </c>
      <c r="B36" s="132">
        <v>30.0</v>
      </c>
      <c r="C36" s="133">
        <v>34.0</v>
      </c>
      <c r="D36" s="133">
        <v>28.0</v>
      </c>
      <c r="E36" s="199">
        <v>28.0</v>
      </c>
      <c r="F36" s="133">
        <v>26.0</v>
      </c>
      <c r="G36" s="133">
        <v>27.0</v>
      </c>
      <c r="H36" s="133">
        <v>39.0</v>
      </c>
      <c r="I36" s="133">
        <v>28.0</v>
      </c>
      <c r="J36" s="133">
        <v>27.0</v>
      </c>
      <c r="K36" s="133">
        <v>37.0</v>
      </c>
      <c r="L36" s="133">
        <v>24.0</v>
      </c>
      <c r="M36" s="133">
        <v>21.0</v>
      </c>
      <c r="N36" s="133">
        <v>27.0</v>
      </c>
      <c r="O36" s="133">
        <v>21.0</v>
      </c>
      <c r="P36" s="133">
        <v>25.0</v>
      </c>
      <c r="Q36" s="133">
        <v>28.0</v>
      </c>
      <c r="R36" s="133">
        <v>21.0</v>
      </c>
      <c r="S36" s="134">
        <v>27.0</v>
      </c>
      <c r="T36" s="133"/>
      <c r="U36" s="133"/>
      <c r="V36" s="133"/>
      <c r="W36" s="133"/>
      <c r="X36" s="133"/>
      <c r="Y36" s="133"/>
      <c r="Z36" s="133"/>
      <c r="AA36" s="130"/>
      <c r="AB36" s="130"/>
      <c r="AC36" s="130"/>
      <c r="AD36" s="130"/>
      <c r="AE36" s="130"/>
      <c r="AF36" s="130"/>
      <c r="AG36" s="130"/>
      <c r="AH36" s="130"/>
      <c r="AI36" s="130"/>
      <c r="AJ36" s="130"/>
      <c r="AK36" s="130"/>
      <c r="AL36" s="130"/>
      <c r="AM36" s="130"/>
      <c r="AN36" s="130"/>
    </row>
    <row r="37">
      <c r="A37" s="196" t="s">
        <v>752</v>
      </c>
      <c r="B37" s="132">
        <v>27.0</v>
      </c>
      <c r="C37" s="133">
        <v>30.0</v>
      </c>
      <c r="D37" s="133">
        <v>28.0</v>
      </c>
      <c r="E37" s="133">
        <v>29.0</v>
      </c>
      <c r="F37" s="133">
        <v>16.0</v>
      </c>
      <c r="G37" s="133">
        <v>30.0</v>
      </c>
      <c r="H37" s="133">
        <v>34.0</v>
      </c>
      <c r="I37" s="133">
        <v>32.0</v>
      </c>
      <c r="J37" s="133">
        <v>25.0</v>
      </c>
      <c r="K37" s="133">
        <v>28.0</v>
      </c>
      <c r="L37" s="133">
        <v>24.0</v>
      </c>
      <c r="M37" s="133">
        <v>26.0</v>
      </c>
      <c r="N37" s="133">
        <v>25.0</v>
      </c>
      <c r="O37" s="133">
        <v>16.0</v>
      </c>
      <c r="P37" s="133">
        <v>32.0</v>
      </c>
      <c r="Q37" s="133">
        <v>33.0</v>
      </c>
      <c r="R37" s="133">
        <v>31.0</v>
      </c>
      <c r="S37" s="134">
        <v>23.0</v>
      </c>
      <c r="T37" s="130"/>
      <c r="U37" s="130"/>
      <c r="V37" s="130"/>
      <c r="W37" s="130"/>
      <c r="X37" s="130"/>
      <c r="Y37" s="130"/>
      <c r="Z37" s="130"/>
      <c r="AA37" s="130"/>
      <c r="AB37" s="130"/>
      <c r="AC37" s="130"/>
      <c r="AD37" s="130"/>
      <c r="AE37" s="130"/>
      <c r="AF37" s="130"/>
      <c r="AG37" s="130"/>
      <c r="AH37" s="130"/>
      <c r="AI37" s="130"/>
      <c r="AJ37" s="130"/>
      <c r="AK37" s="130"/>
      <c r="AL37" s="130"/>
      <c r="AM37" s="130"/>
      <c r="AN37" s="130"/>
    </row>
    <row r="38">
      <c r="A38" s="196" t="s">
        <v>753</v>
      </c>
      <c r="B38" s="132">
        <v>13.0</v>
      </c>
      <c r="C38" s="133">
        <v>21.0</v>
      </c>
      <c r="D38" s="133">
        <v>14.0</v>
      </c>
      <c r="E38" s="133">
        <v>18.0</v>
      </c>
      <c r="F38" s="133">
        <v>18.0</v>
      </c>
      <c r="G38" s="133">
        <v>17.0</v>
      </c>
      <c r="H38" s="133">
        <v>29.0</v>
      </c>
      <c r="I38" s="133">
        <v>22.0</v>
      </c>
      <c r="J38" s="133">
        <v>10.0</v>
      </c>
      <c r="K38" s="133">
        <v>20.0</v>
      </c>
      <c r="L38" s="133">
        <v>21.0</v>
      </c>
      <c r="M38" s="133">
        <v>20.0</v>
      </c>
      <c r="N38" s="133">
        <v>21.0</v>
      </c>
      <c r="O38" s="133">
        <v>9.0</v>
      </c>
      <c r="P38" s="133">
        <v>21.0</v>
      </c>
      <c r="Q38" s="133">
        <v>19.0</v>
      </c>
      <c r="R38" s="133">
        <v>24.0</v>
      </c>
      <c r="S38" s="134">
        <v>19.0</v>
      </c>
      <c r="T38" s="133"/>
      <c r="U38" s="133"/>
      <c r="V38" s="133"/>
      <c r="W38" s="133"/>
      <c r="X38" s="133"/>
      <c r="Y38" s="133"/>
      <c r="Z38" s="133"/>
      <c r="AA38" s="130"/>
      <c r="AB38" s="130"/>
      <c r="AC38" s="130"/>
      <c r="AD38" s="130"/>
      <c r="AE38" s="130"/>
      <c r="AF38" s="130"/>
      <c r="AG38" s="130"/>
      <c r="AH38" s="130"/>
      <c r="AI38" s="130"/>
      <c r="AJ38" s="130"/>
      <c r="AK38" s="130"/>
      <c r="AL38" s="130"/>
      <c r="AM38" s="130"/>
      <c r="AN38" s="130"/>
    </row>
    <row r="39">
      <c r="A39" s="481" t="s">
        <v>754</v>
      </c>
      <c r="B39" s="136"/>
      <c r="C39" s="200"/>
      <c r="D39" s="200"/>
      <c r="E39" s="482"/>
      <c r="F39" s="200"/>
      <c r="G39" s="200"/>
      <c r="H39" s="200"/>
      <c r="I39" s="200" t="s">
        <v>59</v>
      </c>
      <c r="J39" s="200">
        <v>8.0</v>
      </c>
      <c r="K39" s="200">
        <v>14.0</v>
      </c>
      <c r="L39" s="200">
        <v>18.0</v>
      </c>
      <c r="M39" s="200">
        <v>20.0</v>
      </c>
      <c r="N39" s="200">
        <v>18.0</v>
      </c>
      <c r="O39" s="200">
        <v>13.0</v>
      </c>
      <c r="P39" s="200">
        <v>18.0</v>
      </c>
      <c r="Q39" s="200">
        <v>18.0</v>
      </c>
      <c r="R39" s="200">
        <v>19.0</v>
      </c>
      <c r="S39" s="200">
        <v>19.0</v>
      </c>
      <c r="T39" s="200"/>
      <c r="U39" s="200"/>
      <c r="V39" s="200"/>
      <c r="W39" s="200"/>
      <c r="X39" s="200"/>
      <c r="Y39" s="200"/>
      <c r="Z39" s="200"/>
      <c r="AA39" s="291"/>
      <c r="AB39" s="291"/>
      <c r="AC39" s="291"/>
      <c r="AD39" s="291"/>
      <c r="AE39" s="291"/>
      <c r="AF39" s="291"/>
      <c r="AG39" s="291"/>
      <c r="AH39" s="291"/>
      <c r="AI39" s="291"/>
      <c r="AJ39" s="291"/>
      <c r="AK39" s="291"/>
      <c r="AL39" s="291"/>
      <c r="AM39" s="291"/>
      <c r="AN39" s="291"/>
    </row>
    <row r="40">
      <c r="A40" s="196" t="s">
        <v>755</v>
      </c>
      <c r="B40" s="132">
        <v>10.0</v>
      </c>
      <c r="C40" s="133">
        <v>11.0</v>
      </c>
      <c r="D40" s="133">
        <v>13.0</v>
      </c>
      <c r="E40" s="133">
        <v>15.0</v>
      </c>
      <c r="F40" s="133">
        <v>15.0</v>
      </c>
      <c r="G40" s="133">
        <v>11.0</v>
      </c>
      <c r="H40" s="133">
        <v>14.0</v>
      </c>
      <c r="I40" s="133">
        <v>17.0</v>
      </c>
      <c r="J40" s="133">
        <v>14.0</v>
      </c>
      <c r="K40" s="133">
        <v>13.0</v>
      </c>
      <c r="L40" s="133">
        <v>8.0</v>
      </c>
      <c r="M40" s="133">
        <v>9.0</v>
      </c>
      <c r="N40" s="133">
        <v>10.0</v>
      </c>
      <c r="O40" s="133">
        <v>9.0</v>
      </c>
      <c r="P40" s="133">
        <v>9.0</v>
      </c>
      <c r="Q40" s="133">
        <v>8.0</v>
      </c>
      <c r="R40" s="133">
        <v>7.0</v>
      </c>
      <c r="S40" s="134">
        <v>11.0</v>
      </c>
      <c r="T40" s="133"/>
      <c r="U40" s="133"/>
      <c r="V40" s="133"/>
      <c r="W40" s="133"/>
      <c r="X40" s="133"/>
      <c r="Y40" s="133"/>
      <c r="Z40" s="133"/>
      <c r="AA40" s="130"/>
      <c r="AB40" s="130"/>
      <c r="AC40" s="130"/>
      <c r="AD40" s="130"/>
      <c r="AE40" s="130"/>
      <c r="AF40" s="130"/>
      <c r="AG40" s="130"/>
      <c r="AH40" s="130"/>
      <c r="AI40" s="130"/>
      <c r="AJ40" s="130"/>
      <c r="AK40" s="130"/>
      <c r="AL40" s="130"/>
      <c r="AM40" s="130"/>
      <c r="AN40" s="130"/>
    </row>
    <row r="41">
      <c r="A41" s="483" t="s">
        <v>756</v>
      </c>
      <c r="B41" s="132">
        <v>7.0</v>
      </c>
      <c r="C41" s="133">
        <v>10.0</v>
      </c>
      <c r="D41" s="133">
        <v>9.0</v>
      </c>
      <c r="E41" s="133">
        <v>15.0</v>
      </c>
      <c r="F41" s="133">
        <v>9.0</v>
      </c>
      <c r="G41" s="133">
        <v>10.0</v>
      </c>
      <c r="H41" s="133">
        <v>13.0</v>
      </c>
      <c r="I41" s="133">
        <v>16.0</v>
      </c>
      <c r="J41" s="133">
        <v>8.0</v>
      </c>
      <c r="K41" s="133">
        <v>14.0</v>
      </c>
      <c r="L41" s="133">
        <v>11.0</v>
      </c>
      <c r="M41" s="133">
        <v>18.0</v>
      </c>
      <c r="N41" s="133">
        <v>9.0</v>
      </c>
      <c r="O41" s="133">
        <v>10.0</v>
      </c>
      <c r="P41" s="133">
        <v>10.0</v>
      </c>
      <c r="Q41" s="133">
        <v>8.0</v>
      </c>
      <c r="R41" s="133">
        <v>5.0</v>
      </c>
      <c r="S41" s="134">
        <v>8.0</v>
      </c>
      <c r="T41" s="133"/>
      <c r="U41" s="133"/>
      <c r="V41" s="133"/>
      <c r="W41" s="133"/>
      <c r="X41" s="133"/>
      <c r="Y41" s="133"/>
      <c r="Z41" s="133"/>
      <c r="AA41" s="130"/>
      <c r="AB41" s="130"/>
      <c r="AC41" s="130"/>
      <c r="AD41" s="130"/>
      <c r="AE41" s="130"/>
      <c r="AF41" s="130"/>
      <c r="AG41" s="130"/>
      <c r="AH41" s="130"/>
      <c r="AI41" s="130"/>
      <c r="AJ41" s="130"/>
      <c r="AK41" s="130"/>
      <c r="AL41" s="130"/>
      <c r="AM41" s="130"/>
      <c r="AN41" s="130"/>
    </row>
    <row r="42">
      <c r="A42" s="196" t="s">
        <v>757</v>
      </c>
      <c r="B42" s="132">
        <v>25.0</v>
      </c>
      <c r="C42" s="133">
        <v>21.0</v>
      </c>
      <c r="D42" s="133">
        <v>20.0</v>
      </c>
      <c r="E42" s="199">
        <v>24.0</v>
      </c>
      <c r="F42" s="133">
        <v>26.0</v>
      </c>
      <c r="G42" s="133">
        <v>20.0</v>
      </c>
      <c r="H42" s="133">
        <v>34.0</v>
      </c>
      <c r="I42" s="133">
        <v>26.0</v>
      </c>
      <c r="J42" s="133">
        <v>26.0</v>
      </c>
      <c r="K42" s="133">
        <v>31.0</v>
      </c>
      <c r="L42" s="133">
        <v>25.0</v>
      </c>
      <c r="M42" s="133">
        <v>28.0</v>
      </c>
      <c r="N42" s="133">
        <v>26.0</v>
      </c>
      <c r="O42" s="133">
        <v>16.0</v>
      </c>
      <c r="P42" s="133">
        <v>24.0</v>
      </c>
      <c r="Q42" s="133">
        <v>23.0</v>
      </c>
      <c r="R42" s="133">
        <v>26.0</v>
      </c>
      <c r="S42" s="134">
        <v>22.0</v>
      </c>
      <c r="T42" s="133"/>
      <c r="U42" s="133"/>
      <c r="V42" s="133"/>
      <c r="W42" s="133"/>
      <c r="X42" s="133"/>
      <c r="Y42" s="133"/>
      <c r="Z42" s="133"/>
      <c r="AA42" s="130"/>
      <c r="AB42" s="130"/>
      <c r="AC42" s="130"/>
      <c r="AD42" s="130"/>
      <c r="AE42" s="130"/>
      <c r="AF42" s="130"/>
      <c r="AG42" s="130"/>
      <c r="AH42" s="130"/>
      <c r="AI42" s="130"/>
      <c r="AJ42" s="130"/>
      <c r="AK42" s="130"/>
      <c r="AL42" s="130"/>
      <c r="AM42" s="130"/>
      <c r="AN42" s="130"/>
    </row>
    <row r="43">
      <c r="A43" s="198" t="s">
        <v>758</v>
      </c>
      <c r="B43" s="132"/>
      <c r="C43" s="133"/>
      <c r="D43" s="133"/>
      <c r="E43" s="199">
        <v>18.0</v>
      </c>
      <c r="F43" s="133">
        <v>21.0</v>
      </c>
      <c r="G43" s="133">
        <v>28.0</v>
      </c>
      <c r="H43" s="133">
        <v>23.0</v>
      </c>
      <c r="I43" s="133">
        <v>29.0</v>
      </c>
      <c r="J43" s="133">
        <v>26.0</v>
      </c>
      <c r="K43" s="133">
        <v>29.0</v>
      </c>
      <c r="L43" s="133">
        <v>30.0</v>
      </c>
      <c r="M43" s="133">
        <v>23.0</v>
      </c>
      <c r="N43" s="133">
        <v>26.0</v>
      </c>
      <c r="O43" s="133">
        <v>23.0</v>
      </c>
      <c r="P43" s="133">
        <v>26.0</v>
      </c>
      <c r="Q43" s="133">
        <v>23.0</v>
      </c>
      <c r="R43" s="133">
        <v>26.0</v>
      </c>
      <c r="S43" s="134">
        <v>26.0</v>
      </c>
      <c r="T43" s="133"/>
      <c r="U43" s="133"/>
      <c r="V43" s="133"/>
      <c r="W43" s="133"/>
      <c r="X43" s="133"/>
      <c r="Y43" s="133"/>
      <c r="Z43" s="133"/>
      <c r="AA43" s="130"/>
      <c r="AB43" s="130"/>
      <c r="AC43" s="130"/>
      <c r="AD43" s="130"/>
      <c r="AE43" s="130"/>
      <c r="AF43" s="130"/>
      <c r="AG43" s="130"/>
      <c r="AH43" s="130"/>
      <c r="AI43" s="130"/>
      <c r="AJ43" s="130"/>
      <c r="AK43" s="130"/>
      <c r="AL43" s="130"/>
      <c r="AM43" s="130"/>
      <c r="AN43" s="130"/>
    </row>
    <row r="44" hidden="1">
      <c r="A44" s="198" t="s">
        <v>759</v>
      </c>
      <c r="B44" s="132"/>
      <c r="C44" s="133"/>
      <c r="D44" s="133"/>
      <c r="E44" s="199"/>
      <c r="F44" s="133"/>
      <c r="G44" s="133"/>
      <c r="H44" s="133">
        <v>8.0</v>
      </c>
      <c r="I44" s="130"/>
      <c r="J44" s="130"/>
      <c r="K44" s="130"/>
      <c r="L44" s="130"/>
      <c r="M44" s="130"/>
      <c r="N44" s="130"/>
      <c r="O44" s="133"/>
      <c r="P44" s="133"/>
      <c r="Q44" s="133"/>
      <c r="R44" s="133"/>
      <c r="S44" s="133"/>
      <c r="T44" s="133"/>
      <c r="U44" s="133"/>
      <c r="V44" s="133"/>
      <c r="W44" s="133"/>
      <c r="X44" s="133"/>
      <c r="Y44" s="133"/>
      <c r="Z44" s="133"/>
      <c r="AA44" s="130"/>
      <c r="AB44" s="130"/>
      <c r="AC44" s="130"/>
      <c r="AD44" s="130"/>
      <c r="AE44" s="130"/>
      <c r="AF44" s="130"/>
      <c r="AG44" s="130"/>
      <c r="AH44" s="130"/>
      <c r="AI44" s="130"/>
      <c r="AJ44" s="130"/>
      <c r="AK44" s="130"/>
      <c r="AL44" s="130"/>
      <c r="AM44" s="130"/>
      <c r="AN44" s="130"/>
    </row>
    <row r="45" hidden="1">
      <c r="A45" s="131"/>
      <c r="B45" s="132"/>
      <c r="C45" s="133"/>
      <c r="D45" s="130"/>
      <c r="E45" s="130"/>
      <c r="F45" s="130"/>
      <c r="G45" s="130"/>
      <c r="H45" s="130"/>
      <c r="I45" s="130"/>
      <c r="J45" s="130"/>
      <c r="K45" s="130"/>
      <c r="L45" s="130"/>
      <c r="M45" s="130"/>
      <c r="N45" s="130"/>
      <c r="O45" s="133"/>
      <c r="P45" s="133"/>
      <c r="Q45" s="133"/>
      <c r="R45" s="133"/>
      <c r="S45" s="133"/>
      <c r="T45" s="133"/>
      <c r="U45" s="133"/>
      <c r="V45" s="133"/>
      <c r="W45" s="133"/>
      <c r="X45" s="133"/>
      <c r="Y45" s="133"/>
      <c r="Z45" s="133"/>
      <c r="AA45" s="130"/>
      <c r="AB45" s="130"/>
      <c r="AC45" s="130"/>
      <c r="AD45" s="130"/>
      <c r="AE45" s="130"/>
      <c r="AF45" s="130"/>
      <c r="AG45" s="130"/>
      <c r="AH45" s="130"/>
      <c r="AI45" s="130"/>
      <c r="AJ45" s="130"/>
      <c r="AK45" s="130"/>
      <c r="AL45" s="130"/>
      <c r="AM45" s="130"/>
      <c r="AN45" s="130"/>
    </row>
    <row r="46" hidden="1">
      <c r="A46" s="131"/>
      <c r="B46" s="136"/>
      <c r="C46" s="130"/>
      <c r="D46" s="130"/>
      <c r="E46" s="130"/>
      <c r="F46" s="130"/>
      <c r="G46" s="130"/>
      <c r="H46" s="130"/>
      <c r="I46" s="130"/>
      <c r="J46" s="130"/>
      <c r="K46" s="130"/>
      <c r="L46" s="130"/>
      <c r="M46" s="130"/>
      <c r="N46" s="130"/>
      <c r="O46" s="133"/>
      <c r="P46" s="133"/>
      <c r="Q46" s="133"/>
      <c r="R46" s="133"/>
      <c r="S46" s="134"/>
      <c r="T46" s="133"/>
      <c r="U46" s="133"/>
      <c r="V46" s="133"/>
      <c r="W46" s="133"/>
      <c r="X46" s="133"/>
      <c r="Y46" s="133"/>
      <c r="Z46" s="133"/>
      <c r="AA46" s="130"/>
      <c r="AB46" s="130"/>
      <c r="AC46" s="130"/>
      <c r="AD46" s="130"/>
      <c r="AE46" s="130"/>
      <c r="AF46" s="130"/>
      <c r="AG46" s="130"/>
      <c r="AH46" s="130"/>
      <c r="AI46" s="130"/>
      <c r="AJ46" s="130"/>
      <c r="AK46" s="130"/>
      <c r="AL46" s="130"/>
      <c r="AM46" s="130"/>
      <c r="AN46" s="130"/>
    </row>
    <row r="47" hidden="1">
      <c r="A47" s="131"/>
      <c r="B47" s="136"/>
      <c r="C47" s="130"/>
      <c r="D47" s="130"/>
      <c r="E47" s="130"/>
      <c r="F47" s="130"/>
      <c r="G47" s="130"/>
      <c r="H47" s="130"/>
      <c r="I47" s="130"/>
      <c r="J47" s="130"/>
      <c r="K47" s="130"/>
      <c r="L47" s="130"/>
      <c r="M47" s="130"/>
      <c r="N47" s="130"/>
      <c r="O47" s="133"/>
      <c r="P47" s="133"/>
      <c r="Q47" s="133"/>
      <c r="R47" s="133"/>
      <c r="S47" s="134"/>
      <c r="T47" s="133"/>
      <c r="U47" s="133"/>
      <c r="V47" s="133"/>
      <c r="W47" s="133"/>
      <c r="X47" s="133"/>
      <c r="Y47" s="133"/>
      <c r="Z47" s="133"/>
      <c r="AA47" s="130"/>
      <c r="AB47" s="130"/>
      <c r="AC47" s="130"/>
      <c r="AD47" s="130"/>
      <c r="AE47" s="130"/>
      <c r="AF47" s="130"/>
      <c r="AG47" s="130"/>
      <c r="AH47" s="130"/>
      <c r="AI47" s="130"/>
      <c r="AJ47" s="130"/>
      <c r="AK47" s="130"/>
      <c r="AL47" s="130"/>
      <c r="AM47" s="130"/>
      <c r="AN47" s="130"/>
    </row>
    <row r="48" hidden="1">
      <c r="A48" s="131"/>
      <c r="B48" s="132"/>
      <c r="C48" s="130"/>
      <c r="D48" s="130"/>
      <c r="E48" s="130"/>
      <c r="F48" s="130"/>
      <c r="G48" s="130"/>
      <c r="H48" s="130"/>
      <c r="I48" s="130"/>
      <c r="J48" s="130"/>
      <c r="K48" s="130"/>
      <c r="L48" s="130"/>
      <c r="M48" s="130"/>
      <c r="N48" s="130"/>
      <c r="O48" s="133"/>
      <c r="P48" s="133"/>
      <c r="Q48" s="133"/>
      <c r="R48" s="133"/>
      <c r="S48" s="134"/>
      <c r="T48" s="133"/>
      <c r="U48" s="133"/>
      <c r="V48" s="133"/>
      <c r="W48" s="133"/>
      <c r="X48" s="133"/>
      <c r="Y48" s="133"/>
      <c r="Z48" s="133"/>
      <c r="AA48" s="130"/>
      <c r="AB48" s="130"/>
      <c r="AC48" s="130"/>
      <c r="AD48" s="130"/>
      <c r="AE48" s="130"/>
      <c r="AF48" s="130"/>
      <c r="AG48" s="130"/>
      <c r="AH48" s="130"/>
      <c r="AI48" s="130"/>
      <c r="AJ48" s="130"/>
      <c r="AK48" s="130"/>
      <c r="AL48" s="130"/>
      <c r="AM48" s="130"/>
      <c r="AN48" s="130"/>
    </row>
    <row r="49">
      <c r="A49" s="126" t="s">
        <v>46</v>
      </c>
      <c r="B49" s="127"/>
      <c r="C49" s="128"/>
      <c r="D49" s="128"/>
      <c r="E49" s="128"/>
      <c r="F49" s="128"/>
      <c r="G49" s="128"/>
      <c r="H49" s="128"/>
      <c r="I49" s="128"/>
      <c r="J49" s="128"/>
      <c r="K49" s="128"/>
      <c r="L49" s="128"/>
      <c r="M49" s="128"/>
      <c r="N49" s="128"/>
      <c r="O49" s="128"/>
      <c r="P49" s="128"/>
      <c r="Q49" s="128"/>
      <c r="R49" s="128"/>
      <c r="S49" s="129"/>
      <c r="T49" s="128"/>
      <c r="U49" s="128"/>
      <c r="V49" s="128"/>
      <c r="W49" s="128"/>
      <c r="X49" s="128"/>
      <c r="Y49" s="128"/>
      <c r="Z49" s="128"/>
      <c r="AA49" s="128"/>
      <c r="AB49" s="130"/>
      <c r="AC49" s="130"/>
      <c r="AD49" s="130"/>
      <c r="AE49" s="130"/>
      <c r="AF49" s="130"/>
      <c r="AG49" s="130"/>
      <c r="AH49" s="130"/>
      <c r="AI49" s="130"/>
      <c r="AJ49" s="130"/>
      <c r="AK49" s="130"/>
      <c r="AL49" s="130"/>
      <c r="AM49" s="130"/>
      <c r="AN49" s="130"/>
    </row>
    <row r="50">
      <c r="A50" s="196" t="s">
        <v>751</v>
      </c>
      <c r="B50" s="132">
        <v>30.0</v>
      </c>
      <c r="C50" s="133">
        <v>16.0</v>
      </c>
      <c r="D50" s="133">
        <v>31.0</v>
      </c>
      <c r="E50" s="133">
        <v>20.0</v>
      </c>
      <c r="F50" s="133">
        <v>7.0</v>
      </c>
      <c r="G50" s="133">
        <v>6.0</v>
      </c>
      <c r="H50" s="133">
        <v>43.0</v>
      </c>
      <c r="I50" s="133">
        <v>25.0</v>
      </c>
      <c r="J50" s="133">
        <v>23.0</v>
      </c>
      <c r="K50" s="133">
        <v>40.0</v>
      </c>
      <c r="L50" s="133">
        <v>19.0</v>
      </c>
      <c r="M50" s="133">
        <v>18.0</v>
      </c>
      <c r="N50" s="133">
        <v>24.0</v>
      </c>
      <c r="O50" s="133">
        <v>15.0</v>
      </c>
      <c r="P50" s="133">
        <v>24.0</v>
      </c>
      <c r="Q50" s="133">
        <v>26.0</v>
      </c>
      <c r="R50" s="133">
        <v>18.0</v>
      </c>
      <c r="S50" s="134">
        <v>21.0</v>
      </c>
      <c r="T50" s="133"/>
      <c r="U50" s="133"/>
      <c r="V50" s="133"/>
      <c r="W50" s="133"/>
      <c r="X50" s="133"/>
      <c r="Y50" s="133"/>
      <c r="Z50" s="130"/>
      <c r="AA50" s="130"/>
      <c r="AB50" s="130"/>
      <c r="AC50" s="130"/>
      <c r="AD50" s="130"/>
      <c r="AE50" s="130"/>
      <c r="AF50" s="130"/>
      <c r="AG50" s="130"/>
      <c r="AH50" s="130"/>
      <c r="AI50" s="130"/>
      <c r="AJ50" s="130"/>
      <c r="AK50" s="130"/>
      <c r="AL50" s="130"/>
      <c r="AM50" s="130"/>
      <c r="AN50" s="130"/>
    </row>
    <row r="51">
      <c r="A51" s="196" t="s">
        <v>752</v>
      </c>
      <c r="B51" s="132">
        <v>27.0</v>
      </c>
      <c r="C51" s="133">
        <v>3.0</v>
      </c>
      <c r="D51" s="133">
        <v>28.0</v>
      </c>
      <c r="E51" s="133">
        <v>15.0</v>
      </c>
      <c r="F51" s="133">
        <v>15.0</v>
      </c>
      <c r="G51" s="133">
        <v>7.0</v>
      </c>
      <c r="H51" s="133">
        <v>36.0</v>
      </c>
      <c r="I51" s="133">
        <v>19.0</v>
      </c>
      <c r="J51" s="133">
        <v>25.0</v>
      </c>
      <c r="K51" s="133">
        <v>33.0</v>
      </c>
      <c r="L51" s="133">
        <v>24.0</v>
      </c>
      <c r="M51" s="133">
        <v>28.0</v>
      </c>
      <c r="N51" s="133">
        <v>25.0</v>
      </c>
      <c r="O51" s="133">
        <v>13.0</v>
      </c>
      <c r="P51" s="133">
        <v>32.0</v>
      </c>
      <c r="Q51" s="133">
        <v>3.0</v>
      </c>
      <c r="R51" s="133">
        <v>14.0</v>
      </c>
      <c r="S51" s="134">
        <v>20.0</v>
      </c>
      <c r="T51" s="130"/>
      <c r="U51" s="130"/>
      <c r="V51" s="130"/>
      <c r="W51" s="130"/>
      <c r="X51" s="130"/>
      <c r="Y51" s="130"/>
      <c r="Z51" s="130"/>
      <c r="AA51" s="130"/>
      <c r="AB51" s="130"/>
      <c r="AC51" s="130"/>
      <c r="AD51" s="130"/>
      <c r="AE51" s="130"/>
      <c r="AF51" s="130"/>
      <c r="AG51" s="130"/>
      <c r="AH51" s="130"/>
      <c r="AI51" s="130"/>
      <c r="AJ51" s="130"/>
      <c r="AK51" s="130"/>
      <c r="AL51" s="130"/>
      <c r="AM51" s="130"/>
      <c r="AN51" s="130"/>
    </row>
    <row r="52">
      <c r="A52" s="196" t="s">
        <v>753</v>
      </c>
      <c r="B52" s="137">
        <v>14.0</v>
      </c>
      <c r="C52" s="133">
        <v>1.0</v>
      </c>
      <c r="D52" s="133">
        <v>9.0</v>
      </c>
      <c r="E52" s="133">
        <v>10.0</v>
      </c>
      <c r="F52" s="133">
        <v>15.0</v>
      </c>
      <c r="G52" s="133">
        <v>7.0</v>
      </c>
      <c r="H52" s="133">
        <v>27.0</v>
      </c>
      <c r="I52" s="133">
        <v>15.0</v>
      </c>
      <c r="J52" s="133">
        <v>8.0</v>
      </c>
      <c r="K52" s="133">
        <v>17.0</v>
      </c>
      <c r="L52" s="133">
        <v>19.0</v>
      </c>
      <c r="M52" s="133">
        <v>20.0</v>
      </c>
      <c r="N52" s="133">
        <v>22.0</v>
      </c>
      <c r="O52" s="133">
        <v>9.0</v>
      </c>
      <c r="P52" s="133">
        <v>19.0</v>
      </c>
      <c r="Q52" s="133">
        <v>12.0</v>
      </c>
      <c r="R52" s="133">
        <v>5.0</v>
      </c>
      <c r="S52" s="134">
        <v>11.0</v>
      </c>
      <c r="T52" s="130"/>
      <c r="U52" s="130"/>
      <c r="V52" s="130"/>
      <c r="W52" s="130"/>
      <c r="X52" s="130"/>
      <c r="Y52" s="130"/>
      <c r="Z52" s="130"/>
      <c r="AA52" s="130"/>
      <c r="AB52" s="130"/>
      <c r="AC52" s="130"/>
      <c r="AD52" s="130"/>
      <c r="AE52" s="130"/>
      <c r="AF52" s="130"/>
      <c r="AG52" s="130"/>
      <c r="AH52" s="130"/>
      <c r="AI52" s="130"/>
      <c r="AJ52" s="130"/>
      <c r="AK52" s="130"/>
      <c r="AL52" s="130"/>
      <c r="AM52" s="130"/>
      <c r="AN52" s="130"/>
    </row>
    <row r="53">
      <c r="A53" s="484" t="s">
        <v>754</v>
      </c>
      <c r="B53" s="485"/>
      <c r="C53" s="200"/>
      <c r="D53" s="200"/>
      <c r="E53" s="200"/>
      <c r="F53" s="200"/>
      <c r="G53" s="200"/>
      <c r="H53" s="200"/>
      <c r="I53" s="200" t="s">
        <v>59</v>
      </c>
      <c r="J53" s="200">
        <v>8.0</v>
      </c>
      <c r="K53" s="200">
        <v>9.0</v>
      </c>
      <c r="L53" s="133">
        <v>13.0</v>
      </c>
      <c r="M53" s="200">
        <v>16.0</v>
      </c>
      <c r="N53" s="200">
        <v>9.0</v>
      </c>
      <c r="O53" s="200">
        <v>10.0</v>
      </c>
      <c r="P53" s="200">
        <v>9.0</v>
      </c>
      <c r="Q53" s="200">
        <v>9.0</v>
      </c>
      <c r="R53" s="200">
        <v>11.0</v>
      </c>
      <c r="S53" s="200">
        <v>8.0</v>
      </c>
      <c r="T53" s="200"/>
      <c r="U53" s="200"/>
      <c r="V53" s="200"/>
      <c r="W53" s="200"/>
      <c r="X53" s="200"/>
      <c r="Y53" s="200"/>
      <c r="Z53" s="291"/>
      <c r="AA53" s="291"/>
      <c r="AB53" s="291"/>
      <c r="AC53" s="291"/>
      <c r="AD53" s="291"/>
      <c r="AE53" s="291"/>
      <c r="AF53" s="291"/>
      <c r="AG53" s="291"/>
      <c r="AH53" s="291"/>
      <c r="AI53" s="291"/>
      <c r="AJ53" s="291"/>
      <c r="AK53" s="291"/>
      <c r="AL53" s="291"/>
      <c r="AM53" s="291"/>
      <c r="AN53" s="291"/>
    </row>
    <row r="54">
      <c r="A54" s="196" t="s">
        <v>755</v>
      </c>
      <c r="B54" s="137">
        <v>10.0</v>
      </c>
      <c r="C54" s="133">
        <v>11.0</v>
      </c>
      <c r="D54" s="133">
        <v>13.0</v>
      </c>
      <c r="E54" s="133">
        <v>13.0</v>
      </c>
      <c r="F54" s="133">
        <v>16.0</v>
      </c>
      <c r="G54" s="133">
        <v>7.0</v>
      </c>
      <c r="H54" s="133">
        <v>7.0</v>
      </c>
      <c r="I54" s="133">
        <v>14.0</v>
      </c>
      <c r="J54" s="133">
        <v>11.0</v>
      </c>
      <c r="K54" s="133">
        <v>10.0</v>
      </c>
      <c r="L54" s="133">
        <v>3.0</v>
      </c>
      <c r="M54" s="133">
        <v>8.0</v>
      </c>
      <c r="N54" s="133">
        <v>7.0</v>
      </c>
      <c r="O54" s="133">
        <v>6.0</v>
      </c>
      <c r="P54" s="133">
        <v>6.0</v>
      </c>
      <c r="Q54" s="133">
        <v>5.0</v>
      </c>
      <c r="R54" s="133">
        <v>6.0</v>
      </c>
      <c r="S54" s="134">
        <v>4.0</v>
      </c>
      <c r="T54" s="133"/>
      <c r="U54" s="133"/>
      <c r="V54" s="133"/>
      <c r="W54" s="133"/>
      <c r="X54" s="133"/>
      <c r="Y54" s="133"/>
      <c r="Z54" s="130"/>
      <c r="AA54" s="130"/>
      <c r="AB54" s="130"/>
      <c r="AC54" s="130"/>
      <c r="AD54" s="130"/>
      <c r="AE54" s="130"/>
      <c r="AF54" s="130"/>
      <c r="AG54" s="130"/>
      <c r="AH54" s="130"/>
      <c r="AI54" s="130"/>
      <c r="AJ54" s="130"/>
      <c r="AK54" s="130"/>
      <c r="AL54" s="130"/>
      <c r="AM54" s="130"/>
      <c r="AN54" s="130"/>
    </row>
    <row r="55">
      <c r="A55" s="483" t="s">
        <v>756</v>
      </c>
      <c r="B55" s="137">
        <v>8.0</v>
      </c>
      <c r="C55" s="133">
        <v>2.0</v>
      </c>
      <c r="D55" s="133">
        <v>10.0</v>
      </c>
      <c r="E55" s="133">
        <v>10.0</v>
      </c>
      <c r="F55" s="133">
        <v>10.0</v>
      </c>
      <c r="G55" s="133">
        <v>3.0</v>
      </c>
      <c r="H55" s="133">
        <v>3.0</v>
      </c>
      <c r="I55" s="133">
        <v>8.0</v>
      </c>
      <c r="J55" s="133">
        <v>10.0</v>
      </c>
      <c r="K55" s="133">
        <v>3.0</v>
      </c>
      <c r="L55" s="133">
        <v>1.0</v>
      </c>
      <c r="M55" s="133">
        <v>13.0</v>
      </c>
      <c r="N55" s="133">
        <v>5.0</v>
      </c>
      <c r="O55" s="133">
        <v>10.0</v>
      </c>
      <c r="P55" s="133">
        <v>5.0</v>
      </c>
      <c r="Q55" s="133">
        <v>7.0</v>
      </c>
      <c r="R55" s="133">
        <v>4.0</v>
      </c>
      <c r="S55" s="134">
        <v>0.0</v>
      </c>
      <c r="T55" s="133"/>
      <c r="U55" s="133"/>
      <c r="V55" s="133"/>
      <c r="W55" s="133"/>
      <c r="X55" s="133"/>
      <c r="Y55" s="133"/>
      <c r="Z55" s="130"/>
      <c r="AA55" s="130"/>
      <c r="AB55" s="130"/>
      <c r="AC55" s="130"/>
      <c r="AD55" s="130"/>
      <c r="AE55" s="130"/>
      <c r="AF55" s="130"/>
      <c r="AG55" s="130"/>
      <c r="AH55" s="130"/>
      <c r="AI55" s="130"/>
      <c r="AJ55" s="130"/>
      <c r="AK55" s="130"/>
      <c r="AL55" s="130"/>
      <c r="AM55" s="130"/>
      <c r="AN55" s="130"/>
    </row>
    <row r="56">
      <c r="A56" s="196" t="s">
        <v>757</v>
      </c>
      <c r="B56" s="137">
        <v>25.0</v>
      </c>
      <c r="C56" s="133">
        <v>21.0</v>
      </c>
      <c r="D56" s="133">
        <v>20.0</v>
      </c>
      <c r="E56" s="133">
        <v>24.0</v>
      </c>
      <c r="F56" s="133">
        <v>26.0</v>
      </c>
      <c r="G56" s="133">
        <v>18.0</v>
      </c>
      <c r="H56" s="133">
        <v>34.0</v>
      </c>
      <c r="I56" s="133">
        <v>26.0</v>
      </c>
      <c r="J56" s="133">
        <v>26.0</v>
      </c>
      <c r="K56" s="133">
        <v>34.0</v>
      </c>
      <c r="L56" s="133">
        <v>12.0</v>
      </c>
      <c r="M56" s="133">
        <v>28.0</v>
      </c>
      <c r="N56" s="133">
        <v>26.0</v>
      </c>
      <c r="O56" s="133">
        <v>16.0</v>
      </c>
      <c r="P56" s="133">
        <v>24.0</v>
      </c>
      <c r="Q56" s="133">
        <v>23.0</v>
      </c>
      <c r="R56" s="133">
        <v>26.0</v>
      </c>
      <c r="S56" s="134">
        <v>22.0</v>
      </c>
      <c r="T56" s="133"/>
      <c r="U56" s="133"/>
      <c r="V56" s="133"/>
      <c r="W56" s="133"/>
      <c r="X56" s="133"/>
      <c r="Y56" s="133"/>
      <c r="Z56" s="130"/>
      <c r="AA56" s="130"/>
      <c r="AB56" s="130"/>
      <c r="AC56" s="130"/>
      <c r="AD56" s="130"/>
      <c r="AE56" s="130"/>
      <c r="AF56" s="130"/>
      <c r="AG56" s="130"/>
      <c r="AH56" s="130"/>
      <c r="AI56" s="130"/>
      <c r="AJ56" s="130"/>
      <c r="AK56" s="130"/>
      <c r="AL56" s="130"/>
      <c r="AM56" s="130"/>
      <c r="AN56" s="130"/>
    </row>
    <row r="57">
      <c r="A57" s="198" t="s">
        <v>758</v>
      </c>
      <c r="B57" s="137"/>
      <c r="C57" s="133"/>
      <c r="D57" s="133"/>
      <c r="E57" s="133">
        <v>18.0</v>
      </c>
      <c r="F57" s="133">
        <v>21.0</v>
      </c>
      <c r="G57" s="133">
        <v>26.0</v>
      </c>
      <c r="H57" s="133">
        <v>23.0</v>
      </c>
      <c r="I57" s="133">
        <v>29.0</v>
      </c>
      <c r="J57" s="133">
        <v>26.0</v>
      </c>
      <c r="K57" s="133">
        <v>29.0</v>
      </c>
      <c r="L57" s="133">
        <v>30.0</v>
      </c>
      <c r="M57" s="133">
        <v>26.0</v>
      </c>
      <c r="N57" s="133">
        <v>26.0</v>
      </c>
      <c r="O57" s="133">
        <v>23.0</v>
      </c>
      <c r="P57" s="133">
        <v>26.0</v>
      </c>
      <c r="Q57" s="133">
        <v>23.0</v>
      </c>
      <c r="R57" s="133">
        <v>26.0</v>
      </c>
      <c r="S57" s="134">
        <v>26.0</v>
      </c>
      <c r="T57" s="133"/>
      <c r="U57" s="133"/>
      <c r="V57" s="133"/>
      <c r="W57" s="133"/>
      <c r="X57" s="133"/>
      <c r="Y57" s="133"/>
      <c r="Z57" s="130"/>
      <c r="AA57" s="130"/>
      <c r="AB57" s="130"/>
      <c r="AC57" s="130"/>
      <c r="AD57" s="130"/>
      <c r="AE57" s="130"/>
      <c r="AF57" s="130"/>
      <c r="AG57" s="130"/>
      <c r="AH57" s="130"/>
      <c r="AI57" s="130"/>
      <c r="AJ57" s="130"/>
      <c r="AK57" s="130"/>
      <c r="AL57" s="130"/>
      <c r="AM57" s="130"/>
      <c r="AN57" s="130"/>
    </row>
    <row r="58" hidden="1">
      <c r="A58" s="484" t="s">
        <v>759</v>
      </c>
      <c r="B58" s="137"/>
      <c r="C58" s="133"/>
      <c r="D58" s="133"/>
      <c r="E58" s="133"/>
      <c r="F58" s="133"/>
      <c r="G58" s="133"/>
      <c r="H58" s="133">
        <v>2.0</v>
      </c>
      <c r="I58" s="133"/>
      <c r="J58" s="133"/>
      <c r="K58" s="133"/>
      <c r="L58" s="133"/>
      <c r="M58" s="133"/>
      <c r="N58" s="133"/>
      <c r="O58" s="133"/>
      <c r="P58" s="133"/>
      <c r="Q58" s="133"/>
      <c r="R58" s="133"/>
      <c r="S58" s="134"/>
      <c r="T58" s="133"/>
      <c r="U58" s="133"/>
      <c r="V58" s="133"/>
      <c r="W58" s="133"/>
      <c r="X58" s="133"/>
      <c r="Y58" s="133"/>
      <c r="Z58" s="130"/>
      <c r="AA58" s="130"/>
      <c r="AB58" s="130"/>
      <c r="AC58" s="130"/>
      <c r="AD58" s="130"/>
      <c r="AE58" s="130"/>
      <c r="AF58" s="130"/>
      <c r="AG58" s="130"/>
      <c r="AH58" s="130"/>
      <c r="AI58" s="130"/>
      <c r="AJ58" s="130"/>
      <c r="AK58" s="130"/>
      <c r="AL58" s="130"/>
      <c r="AM58" s="130"/>
      <c r="AN58" s="130"/>
    </row>
    <row r="59" hidden="1">
      <c r="A59" s="198" t="s">
        <v>760</v>
      </c>
      <c r="B59" s="137"/>
      <c r="C59" s="133"/>
      <c r="D59" s="133"/>
      <c r="E59" s="133"/>
      <c r="F59" s="133"/>
      <c r="G59" s="133">
        <v>3.0</v>
      </c>
      <c r="H59" s="133"/>
      <c r="I59" s="133"/>
      <c r="J59" s="133"/>
      <c r="K59" s="133"/>
      <c r="L59" s="133"/>
      <c r="M59" s="133"/>
      <c r="N59" s="133"/>
      <c r="O59" s="133"/>
      <c r="P59" s="133"/>
      <c r="Q59" s="133"/>
      <c r="R59" s="133"/>
      <c r="S59" s="134"/>
      <c r="T59" s="133"/>
      <c r="U59" s="133"/>
      <c r="V59" s="133"/>
      <c r="W59" s="133"/>
      <c r="X59" s="133"/>
      <c r="Y59" s="133"/>
      <c r="Z59" s="130"/>
      <c r="AA59" s="130"/>
      <c r="AB59" s="130"/>
      <c r="AC59" s="130"/>
      <c r="AD59" s="130"/>
      <c r="AE59" s="130"/>
      <c r="AF59" s="130"/>
      <c r="AG59" s="130"/>
      <c r="AH59" s="130"/>
      <c r="AI59" s="130"/>
      <c r="AJ59" s="130"/>
      <c r="AK59" s="130"/>
      <c r="AL59" s="130"/>
      <c r="AM59" s="130"/>
      <c r="AN59" s="130"/>
    </row>
    <row r="60">
      <c r="A60" s="131"/>
      <c r="B60" s="137"/>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0"/>
      <c r="AA60" s="130"/>
      <c r="AB60" s="130"/>
      <c r="AC60" s="130"/>
      <c r="AD60" s="130"/>
      <c r="AE60" s="130"/>
      <c r="AF60" s="130"/>
      <c r="AG60" s="130"/>
      <c r="AH60" s="130"/>
      <c r="AI60" s="130"/>
      <c r="AJ60" s="130"/>
      <c r="AK60" s="130"/>
      <c r="AL60" s="130"/>
      <c r="AM60" s="130"/>
      <c r="AN60" s="130"/>
    </row>
    <row r="61">
      <c r="A61" s="199" t="s">
        <v>761</v>
      </c>
      <c r="B61" s="415">
        <f t="shared" ref="B61:G61" si="12">((sum(B50:B52))/(sum(B36:B38)))</f>
        <v>1.014285714</v>
      </c>
      <c r="C61" s="415">
        <f t="shared" si="12"/>
        <v>0.2352941176</v>
      </c>
      <c r="D61" s="415">
        <f t="shared" si="12"/>
        <v>0.9714285714</v>
      </c>
      <c r="E61" s="415">
        <f t="shared" si="12"/>
        <v>0.6</v>
      </c>
      <c r="F61" s="415">
        <f t="shared" si="12"/>
        <v>0.6166666667</v>
      </c>
      <c r="G61" s="415">
        <f t="shared" si="12"/>
        <v>0.2702702703</v>
      </c>
      <c r="H61" s="415">
        <f t="shared" ref="H61:S61" si="13">((sum(H50:H53))/(sum(H36:H39)))</f>
        <v>1.039215686</v>
      </c>
      <c r="I61" s="415">
        <f t="shared" si="13"/>
        <v>0.7195121951</v>
      </c>
      <c r="J61" s="415">
        <f t="shared" si="13"/>
        <v>0.9142857143</v>
      </c>
      <c r="K61" s="415">
        <f t="shared" si="13"/>
        <v>1</v>
      </c>
      <c r="L61" s="415">
        <f t="shared" si="13"/>
        <v>0.8620689655</v>
      </c>
      <c r="M61" s="415">
        <f t="shared" si="13"/>
        <v>0.9425287356</v>
      </c>
      <c r="N61" s="415">
        <f t="shared" si="13"/>
        <v>0.8791208791</v>
      </c>
      <c r="O61" s="415">
        <f t="shared" si="13"/>
        <v>0.7966101695</v>
      </c>
      <c r="P61" s="415">
        <f t="shared" si="13"/>
        <v>0.875</v>
      </c>
      <c r="Q61" s="415">
        <f t="shared" si="13"/>
        <v>0.5102040816</v>
      </c>
      <c r="R61" s="415">
        <f t="shared" si="13"/>
        <v>0.5052631579</v>
      </c>
      <c r="S61" s="415">
        <f t="shared" si="13"/>
        <v>0.6818181818</v>
      </c>
    </row>
    <row r="62">
      <c r="A62" s="486" t="s">
        <v>762</v>
      </c>
      <c r="B62" s="415">
        <f t="shared" ref="B62:S62" si="14">((sum(B54:B55))/(sum(B40:B41)))</f>
        <v>1.058823529</v>
      </c>
      <c r="C62" s="415">
        <f t="shared" si="14"/>
        <v>0.619047619</v>
      </c>
      <c r="D62" s="415">
        <f t="shared" si="14"/>
        <v>1.045454545</v>
      </c>
      <c r="E62" s="415">
        <f t="shared" si="14"/>
        <v>0.7666666667</v>
      </c>
      <c r="F62" s="415">
        <f t="shared" si="14"/>
        <v>1.083333333</v>
      </c>
      <c r="G62" s="415">
        <f t="shared" si="14"/>
        <v>0.4761904762</v>
      </c>
      <c r="H62" s="415">
        <f t="shared" si="14"/>
        <v>0.3703703704</v>
      </c>
      <c r="I62" s="415">
        <f t="shared" si="14"/>
        <v>0.6666666667</v>
      </c>
      <c r="J62" s="415">
        <f t="shared" si="14"/>
        <v>0.9545454545</v>
      </c>
      <c r="K62" s="415">
        <f t="shared" si="14"/>
        <v>0.4814814815</v>
      </c>
      <c r="L62" s="415">
        <f t="shared" si="14"/>
        <v>0.2105263158</v>
      </c>
      <c r="M62" s="415">
        <f t="shared" si="14"/>
        <v>0.7777777778</v>
      </c>
      <c r="N62" s="415">
        <f t="shared" si="14"/>
        <v>0.6315789474</v>
      </c>
      <c r="O62" s="415">
        <f t="shared" si="14"/>
        <v>0.8421052632</v>
      </c>
      <c r="P62" s="415">
        <f t="shared" si="14"/>
        <v>0.5789473684</v>
      </c>
      <c r="Q62" s="415">
        <f t="shared" si="14"/>
        <v>0.75</v>
      </c>
      <c r="R62" s="415">
        <f t="shared" si="14"/>
        <v>0.8333333333</v>
      </c>
      <c r="S62" s="415">
        <f t="shared" si="14"/>
        <v>0.2105263158</v>
      </c>
      <c r="T62" s="133"/>
      <c r="U62" s="133"/>
      <c r="V62" s="133"/>
      <c r="W62" s="133"/>
      <c r="X62" s="133"/>
      <c r="Y62" s="133"/>
      <c r="Z62" s="130"/>
      <c r="AA62" s="130"/>
      <c r="AB62" s="130"/>
      <c r="AC62" s="130"/>
      <c r="AD62" s="130"/>
      <c r="AE62" s="130"/>
      <c r="AF62" s="130"/>
      <c r="AG62" s="130"/>
      <c r="AH62" s="130"/>
      <c r="AI62" s="130"/>
      <c r="AJ62" s="130"/>
      <c r="AK62" s="130"/>
      <c r="AL62" s="130"/>
      <c r="AM62" s="130"/>
      <c r="AN62" s="130"/>
    </row>
    <row r="63">
      <c r="A63" s="199" t="s">
        <v>763</v>
      </c>
      <c r="B63" s="415">
        <f t="shared" ref="B63:S63" si="15">((sum(B56:B57))/(sum(B42:B43)))</f>
        <v>1</v>
      </c>
      <c r="C63" s="415">
        <f t="shared" si="15"/>
        <v>1</v>
      </c>
      <c r="D63" s="415">
        <f t="shared" si="15"/>
        <v>1</v>
      </c>
      <c r="E63" s="415">
        <f t="shared" si="15"/>
        <v>1</v>
      </c>
      <c r="F63" s="415">
        <f t="shared" si="15"/>
        <v>1</v>
      </c>
      <c r="G63" s="415">
        <f t="shared" si="15"/>
        <v>0.9166666667</v>
      </c>
      <c r="H63" s="415">
        <f t="shared" si="15"/>
        <v>1</v>
      </c>
      <c r="I63" s="415">
        <f t="shared" si="15"/>
        <v>1</v>
      </c>
      <c r="J63" s="415">
        <f t="shared" si="15"/>
        <v>1</v>
      </c>
      <c r="K63" s="415">
        <f t="shared" si="15"/>
        <v>1.05</v>
      </c>
      <c r="L63" s="415">
        <f t="shared" si="15"/>
        <v>0.7636363636</v>
      </c>
      <c r="M63" s="415">
        <f t="shared" si="15"/>
        <v>1.058823529</v>
      </c>
      <c r="N63" s="415">
        <f t="shared" si="15"/>
        <v>1</v>
      </c>
      <c r="O63" s="415">
        <f t="shared" si="15"/>
        <v>1</v>
      </c>
      <c r="P63" s="415">
        <f t="shared" si="15"/>
        <v>1</v>
      </c>
      <c r="Q63" s="415">
        <f t="shared" si="15"/>
        <v>1</v>
      </c>
      <c r="R63" s="415">
        <f t="shared" si="15"/>
        <v>1</v>
      </c>
      <c r="S63" s="415">
        <f t="shared" si="15"/>
        <v>1</v>
      </c>
    </row>
    <row r="64">
      <c r="A64" s="126" t="s">
        <v>225</v>
      </c>
      <c r="B64" s="410"/>
      <c r="C64" s="403"/>
      <c r="D64" s="403"/>
      <c r="E64" s="403"/>
      <c r="F64" s="403"/>
      <c r="G64" s="403"/>
      <c r="H64" s="403"/>
      <c r="I64" s="403"/>
      <c r="J64" s="403"/>
      <c r="K64" s="403"/>
      <c r="L64" s="403"/>
      <c r="M64" s="403"/>
      <c r="N64" s="403"/>
      <c r="O64" s="403"/>
      <c r="P64" s="403"/>
      <c r="Q64" s="403"/>
      <c r="R64" s="403"/>
      <c r="S64" s="403"/>
      <c r="T64" s="403"/>
      <c r="U64" s="403"/>
      <c r="V64" s="411"/>
      <c r="W64" s="403"/>
      <c r="X64" s="403"/>
      <c r="Y64" s="403"/>
      <c r="Z64" s="403"/>
      <c r="AA64" s="403"/>
      <c r="AB64" s="403"/>
      <c r="AC64" s="403"/>
      <c r="AD64" s="403"/>
      <c r="AE64" s="403"/>
      <c r="AF64" s="403"/>
      <c r="AG64" s="403"/>
      <c r="AH64" s="403"/>
      <c r="AI64" s="403"/>
      <c r="AJ64" s="403"/>
      <c r="AK64" s="403"/>
      <c r="AL64" s="403"/>
      <c r="AM64" s="403"/>
      <c r="AN64" s="403"/>
    </row>
    <row r="65">
      <c r="A65" s="131" t="s">
        <v>764</v>
      </c>
      <c r="B65" s="137">
        <v>0.5</v>
      </c>
      <c r="C65" s="133">
        <v>0.0</v>
      </c>
      <c r="D65" s="133">
        <v>0.0</v>
      </c>
      <c r="E65" s="133">
        <v>0.0</v>
      </c>
      <c r="F65" s="133">
        <v>1.0</v>
      </c>
      <c r="G65" s="133">
        <v>0.0</v>
      </c>
      <c r="H65" s="133">
        <v>1.0</v>
      </c>
      <c r="I65" s="133">
        <v>1.0</v>
      </c>
      <c r="J65" s="133"/>
      <c r="K65" s="133"/>
      <c r="L65" s="133"/>
      <c r="M65" s="133">
        <v>1.0</v>
      </c>
      <c r="N65" s="133">
        <v>0.0</v>
      </c>
      <c r="O65" s="133"/>
      <c r="P65" s="133"/>
      <c r="Q65" s="133"/>
      <c r="R65" s="133">
        <v>1.0</v>
      </c>
      <c r="S65" s="134"/>
      <c r="T65" s="133"/>
      <c r="U65" s="133"/>
      <c r="V65" s="133"/>
      <c r="W65" s="133"/>
      <c r="X65" s="133"/>
      <c r="Y65" s="133"/>
      <c r="Z65" s="130"/>
      <c r="AA65" s="130"/>
      <c r="AB65" s="130"/>
      <c r="AC65" s="130"/>
      <c r="AD65" s="130"/>
      <c r="AE65" s="130"/>
      <c r="AF65" s="130"/>
      <c r="AG65" s="130"/>
      <c r="AH65" s="130"/>
      <c r="AI65" s="130"/>
      <c r="AJ65" s="130"/>
      <c r="AK65" s="130"/>
      <c r="AL65" s="130"/>
      <c r="AM65" s="130"/>
      <c r="AN65" s="130"/>
    </row>
    <row r="66">
      <c r="B66" s="138"/>
      <c r="S66" s="31"/>
    </row>
    <row r="67">
      <c r="A67" s="199" t="s">
        <v>765</v>
      </c>
      <c r="B67" s="138"/>
      <c r="E67" s="453">
        <f t="shared" ref="E67:I67" si="16">sum(E36:E38)</f>
        <v>75</v>
      </c>
      <c r="F67" s="453">
        <f t="shared" si="16"/>
        <v>60</v>
      </c>
      <c r="G67" s="453">
        <f t="shared" si="16"/>
        <v>74</v>
      </c>
      <c r="H67" s="453">
        <f t="shared" si="16"/>
        <v>102</v>
      </c>
      <c r="I67" s="453">
        <f t="shared" si="16"/>
        <v>82</v>
      </c>
      <c r="J67" s="453">
        <f t="shared" ref="J67:K67" si="17">sum(J36:J39)</f>
        <v>70</v>
      </c>
      <c r="K67" s="453">
        <f t="shared" si="17"/>
        <v>99</v>
      </c>
      <c r="M67" s="199">
        <v>71.0</v>
      </c>
      <c r="N67" s="199">
        <v>70.0</v>
      </c>
      <c r="S67" s="31"/>
    </row>
    <row r="68">
      <c r="A68" s="413" t="s">
        <v>766</v>
      </c>
      <c r="B68" s="138"/>
      <c r="E68" s="199">
        <v>8.0</v>
      </c>
      <c r="F68" s="199">
        <v>5.0</v>
      </c>
      <c r="G68" s="199">
        <v>10.0</v>
      </c>
      <c r="H68" s="199">
        <v>18.0</v>
      </c>
      <c r="M68" s="199">
        <v>2.0</v>
      </c>
      <c r="N68" s="199">
        <v>7.0</v>
      </c>
      <c r="S68" s="31"/>
    </row>
    <row r="69">
      <c r="A69" s="487" t="s">
        <v>767</v>
      </c>
      <c r="B69" s="488"/>
      <c r="C69" s="489"/>
      <c r="D69" s="489"/>
      <c r="E69" s="490">
        <f t="shared" ref="E69:H69" si="18">E68/E67</f>
        <v>0.1066666667</v>
      </c>
      <c r="F69" s="490">
        <f t="shared" si="18"/>
        <v>0.08333333333</v>
      </c>
      <c r="G69" s="490">
        <f t="shared" si="18"/>
        <v>0.1351351351</v>
      </c>
      <c r="H69" s="490">
        <f t="shared" si="18"/>
        <v>0.1764705882</v>
      </c>
      <c r="I69" s="489"/>
      <c r="J69" s="489"/>
      <c r="K69" s="489"/>
      <c r="L69" s="489"/>
      <c r="M69" s="489"/>
      <c r="N69" s="489"/>
      <c r="O69" s="489"/>
      <c r="P69" s="489"/>
      <c r="Q69" s="489"/>
      <c r="R69" s="489"/>
      <c r="S69" s="491"/>
      <c r="T69" s="489"/>
      <c r="U69" s="489"/>
      <c r="V69" s="489"/>
      <c r="W69" s="489"/>
      <c r="X69" s="489"/>
      <c r="Y69" s="489"/>
      <c r="Z69" s="489"/>
      <c r="AA69" s="489"/>
      <c r="AB69" s="489"/>
      <c r="AC69" s="489"/>
      <c r="AD69" s="489"/>
      <c r="AE69" s="489"/>
      <c r="AF69" s="489"/>
      <c r="AG69" s="489"/>
      <c r="AH69" s="489"/>
      <c r="AI69" s="489"/>
      <c r="AJ69" s="489"/>
      <c r="AK69" s="489"/>
      <c r="AL69" s="489"/>
      <c r="AM69" s="489"/>
      <c r="AN69" s="489"/>
    </row>
    <row r="70">
      <c r="A70" s="199" t="s">
        <v>768</v>
      </c>
      <c r="B70" s="138"/>
      <c r="H70" s="453">
        <f t="shared" ref="H70:I70" si="19">sum(H50:H52)</f>
        <v>106</v>
      </c>
      <c r="I70" s="453">
        <f t="shared" si="19"/>
        <v>59</v>
      </c>
      <c r="J70" s="453">
        <f t="shared" ref="J70:K70" si="20">sum(J50:J53)</f>
        <v>64</v>
      </c>
      <c r="K70" s="453">
        <f t="shared" si="20"/>
        <v>99</v>
      </c>
      <c r="S70" s="31"/>
    </row>
    <row r="71">
      <c r="A71" s="413" t="s">
        <v>769</v>
      </c>
      <c r="B71" s="138"/>
      <c r="H71" s="199">
        <v>2.0</v>
      </c>
      <c r="I71" s="199">
        <v>11.0</v>
      </c>
      <c r="J71" s="199">
        <v>7.0</v>
      </c>
      <c r="S71" s="31"/>
    </row>
    <row r="72">
      <c r="A72" s="487" t="s">
        <v>770</v>
      </c>
      <c r="B72" s="488"/>
      <c r="C72" s="489"/>
      <c r="D72" s="489"/>
      <c r="E72" s="490" t="str">
        <f t="shared" ref="E72:J72" si="21">E71/E70</f>
        <v>#DIV/0!</v>
      </c>
      <c r="F72" s="490" t="str">
        <f t="shared" si="21"/>
        <v>#DIV/0!</v>
      </c>
      <c r="G72" s="490" t="str">
        <f t="shared" si="21"/>
        <v>#DIV/0!</v>
      </c>
      <c r="H72" s="490">
        <f t="shared" si="21"/>
        <v>0.01886792453</v>
      </c>
      <c r="I72" s="490">
        <f t="shared" si="21"/>
        <v>0.186440678</v>
      </c>
      <c r="J72" s="490">
        <f t="shared" si="21"/>
        <v>0.109375</v>
      </c>
      <c r="K72" s="489"/>
      <c r="L72" s="489"/>
      <c r="M72" s="489"/>
      <c r="N72" s="489"/>
      <c r="O72" s="489"/>
      <c r="P72" s="489"/>
      <c r="Q72" s="489"/>
      <c r="R72" s="489"/>
      <c r="S72" s="491"/>
      <c r="T72" s="489"/>
      <c r="U72" s="489"/>
      <c r="V72" s="489"/>
      <c r="W72" s="489"/>
      <c r="X72" s="489"/>
      <c r="Y72" s="489"/>
      <c r="Z72" s="489"/>
      <c r="AA72" s="489"/>
      <c r="AB72" s="489"/>
      <c r="AC72" s="489"/>
      <c r="AD72" s="489"/>
      <c r="AE72" s="489"/>
      <c r="AF72" s="489"/>
      <c r="AG72" s="489"/>
      <c r="AH72" s="489"/>
      <c r="AI72" s="489"/>
      <c r="AJ72" s="489"/>
      <c r="AK72" s="489"/>
      <c r="AL72" s="489"/>
      <c r="AM72" s="489"/>
      <c r="AN72" s="489"/>
    </row>
    <row r="73">
      <c r="B73" s="138"/>
      <c r="S73" s="31"/>
    </row>
    <row r="74">
      <c r="B74" s="138"/>
      <c r="S74" s="31"/>
    </row>
    <row r="75">
      <c r="B75" s="13" t="s">
        <v>7</v>
      </c>
      <c r="C75" s="14"/>
      <c r="D75" s="15" t="s">
        <v>8</v>
      </c>
      <c r="E75" s="9"/>
      <c r="F75" s="10" t="s">
        <v>9</v>
      </c>
      <c r="G75" s="9"/>
      <c r="S75" s="31"/>
    </row>
    <row r="76">
      <c r="A76" s="199"/>
      <c r="B76" s="23" t="s">
        <v>714</v>
      </c>
      <c r="C76" s="23" t="s">
        <v>715</v>
      </c>
      <c r="D76" s="23" t="s">
        <v>716</v>
      </c>
      <c r="E76" s="23" t="s">
        <v>717</v>
      </c>
      <c r="F76" s="23" t="s">
        <v>718</v>
      </c>
      <c r="G76" s="471" t="s">
        <v>719</v>
      </c>
      <c r="H76" s="408"/>
      <c r="S76" s="31"/>
    </row>
    <row r="77">
      <c r="A77" s="96" t="s">
        <v>36</v>
      </c>
      <c r="B77" s="492">
        <v>1.0</v>
      </c>
      <c r="S77" s="31"/>
    </row>
    <row r="78">
      <c r="A78" s="187" t="s">
        <v>44</v>
      </c>
      <c r="B78" s="192">
        <f t="shared" ref="B78:G78" si="22">(B77*0.7) + (IF(B31 &gt;= 25%, 1, 0)*0.15) + (B32*0.15)</f>
        <v>1</v>
      </c>
      <c r="C78" s="192">
        <f t="shared" si="22"/>
        <v>0.3</v>
      </c>
      <c r="D78" s="192">
        <f t="shared" si="22"/>
        <v>0.3</v>
      </c>
      <c r="E78" s="192">
        <f t="shared" si="22"/>
        <v>0.3</v>
      </c>
      <c r="F78" s="192">
        <f t="shared" si="22"/>
        <v>0.3</v>
      </c>
      <c r="G78" s="192">
        <f t="shared" si="22"/>
        <v>0.3</v>
      </c>
      <c r="H78" s="192"/>
      <c r="S78" s="31"/>
    </row>
    <row r="79">
      <c r="B79" s="138"/>
      <c r="S79" s="31"/>
    </row>
    <row r="80">
      <c r="B80" s="138"/>
      <c r="S80" s="31"/>
    </row>
    <row r="81">
      <c r="B81" s="138"/>
      <c r="S81" s="31"/>
    </row>
    <row r="82">
      <c r="B82" s="138"/>
      <c r="S82" s="31"/>
    </row>
    <row r="83">
      <c r="B83" s="138"/>
      <c r="S83" s="31"/>
    </row>
    <row r="84">
      <c r="B84" s="138"/>
      <c r="S84" s="31"/>
    </row>
    <row r="85">
      <c r="B85" s="138"/>
      <c r="S85" s="31"/>
    </row>
    <row r="86">
      <c r="B86" s="138"/>
      <c r="S86" s="31"/>
    </row>
    <row r="87">
      <c r="B87" s="138"/>
      <c r="S87" s="31"/>
    </row>
    <row r="88">
      <c r="B88" s="138"/>
      <c r="S88" s="31"/>
    </row>
    <row r="89">
      <c r="B89" s="138"/>
      <c r="S89" s="31"/>
    </row>
    <row r="90">
      <c r="B90" s="138"/>
      <c r="S90" s="31"/>
    </row>
    <row r="91">
      <c r="B91" s="138"/>
      <c r="S91" s="31"/>
    </row>
    <row r="92">
      <c r="B92" s="138"/>
      <c r="S92" s="31"/>
    </row>
    <row r="93">
      <c r="B93" s="138"/>
      <c r="S93" s="31"/>
    </row>
    <row r="94">
      <c r="B94" s="138"/>
      <c r="S94" s="31"/>
    </row>
    <row r="95">
      <c r="B95" s="138"/>
      <c r="S95" s="31"/>
    </row>
    <row r="96">
      <c r="B96" s="138"/>
      <c r="S96" s="31"/>
    </row>
    <row r="97">
      <c r="B97" s="138"/>
      <c r="S97" s="31"/>
    </row>
    <row r="98">
      <c r="B98" s="138"/>
      <c r="S98" s="31"/>
    </row>
    <row r="99">
      <c r="B99" s="138"/>
      <c r="S99" s="31"/>
    </row>
    <row r="100">
      <c r="B100" s="138"/>
      <c r="S100" s="31"/>
    </row>
    <row r="101">
      <c r="B101" s="138"/>
      <c r="S101" s="31"/>
    </row>
    <row r="102">
      <c r="B102" s="138"/>
      <c r="S102" s="31"/>
    </row>
    <row r="103">
      <c r="B103" s="138"/>
      <c r="S103" s="31"/>
    </row>
    <row r="104">
      <c r="B104" s="138"/>
      <c r="S104" s="31"/>
    </row>
    <row r="105">
      <c r="B105" s="138"/>
      <c r="S105" s="31"/>
    </row>
    <row r="106">
      <c r="B106" s="138"/>
      <c r="S106" s="31"/>
    </row>
    <row r="107">
      <c r="B107" s="138"/>
      <c r="S107" s="31"/>
    </row>
    <row r="108">
      <c r="B108" s="138"/>
      <c r="S108" s="31"/>
    </row>
    <row r="109">
      <c r="B109" s="138"/>
      <c r="S109" s="31"/>
    </row>
    <row r="110">
      <c r="B110" s="138"/>
      <c r="S110" s="31"/>
    </row>
    <row r="111">
      <c r="B111" s="138"/>
      <c r="S111" s="31"/>
    </row>
    <row r="112">
      <c r="B112" s="138"/>
      <c r="S112" s="31"/>
    </row>
    <row r="113">
      <c r="B113" s="138"/>
      <c r="S113" s="31"/>
    </row>
    <row r="114">
      <c r="B114" s="138"/>
      <c r="S114" s="31"/>
    </row>
    <row r="115">
      <c r="B115" s="138"/>
      <c r="S115" s="31"/>
    </row>
    <row r="116">
      <c r="B116" s="138"/>
      <c r="S116" s="31"/>
    </row>
    <row r="117">
      <c r="B117" s="138"/>
      <c r="S117" s="31"/>
    </row>
    <row r="118">
      <c r="B118" s="138"/>
      <c r="S118" s="31"/>
    </row>
    <row r="119">
      <c r="B119" s="138"/>
      <c r="S119" s="31"/>
    </row>
    <row r="120">
      <c r="B120" s="138"/>
      <c r="S120" s="31"/>
    </row>
    <row r="121">
      <c r="B121" s="138"/>
      <c r="S121" s="31"/>
    </row>
    <row r="122">
      <c r="B122" s="138"/>
      <c r="S122" s="31"/>
    </row>
    <row r="123">
      <c r="B123" s="138"/>
      <c r="S123" s="31"/>
    </row>
    <row r="124">
      <c r="B124" s="138"/>
      <c r="S124" s="31"/>
    </row>
    <row r="125">
      <c r="B125" s="138"/>
      <c r="S125" s="31"/>
    </row>
    <row r="126">
      <c r="B126" s="138"/>
      <c r="S126" s="31"/>
    </row>
    <row r="127">
      <c r="B127" s="138"/>
      <c r="S127" s="31"/>
    </row>
    <row r="128">
      <c r="B128" s="138"/>
      <c r="S128" s="31"/>
    </row>
    <row r="129">
      <c r="B129" s="138"/>
      <c r="S129" s="31"/>
    </row>
    <row r="130">
      <c r="B130" s="138"/>
      <c r="S130" s="31"/>
    </row>
    <row r="131">
      <c r="B131" s="138"/>
      <c r="S131" s="31"/>
    </row>
    <row r="132">
      <c r="B132" s="138"/>
      <c r="S132" s="31"/>
    </row>
    <row r="133">
      <c r="B133" s="138"/>
      <c r="S133" s="31"/>
    </row>
    <row r="134">
      <c r="B134" s="138"/>
      <c r="S134" s="31"/>
    </row>
    <row r="135">
      <c r="B135" s="138"/>
      <c r="S135" s="31"/>
    </row>
    <row r="136">
      <c r="B136" s="138"/>
      <c r="S136" s="31"/>
    </row>
    <row r="137">
      <c r="B137" s="138"/>
      <c r="S137" s="31"/>
    </row>
    <row r="138">
      <c r="B138" s="138"/>
      <c r="S138" s="31"/>
    </row>
    <row r="139">
      <c r="B139" s="138"/>
      <c r="S139" s="31"/>
    </row>
    <row r="140">
      <c r="B140" s="138"/>
      <c r="S140" s="31"/>
    </row>
    <row r="141">
      <c r="B141" s="138"/>
      <c r="S141" s="31"/>
    </row>
    <row r="142">
      <c r="B142" s="138"/>
      <c r="S142" s="31"/>
    </row>
    <row r="143">
      <c r="B143" s="138"/>
      <c r="S143" s="31"/>
    </row>
    <row r="144">
      <c r="B144" s="138"/>
      <c r="S144" s="31"/>
    </row>
    <row r="145">
      <c r="B145" s="138"/>
      <c r="S145" s="31"/>
    </row>
    <row r="146">
      <c r="B146" s="138"/>
      <c r="S146" s="31"/>
    </row>
    <row r="147">
      <c r="B147" s="138"/>
      <c r="S147" s="31"/>
    </row>
    <row r="148">
      <c r="B148" s="138"/>
      <c r="S148" s="31"/>
    </row>
    <row r="149">
      <c r="B149" s="138"/>
      <c r="S149" s="31"/>
    </row>
    <row r="150">
      <c r="B150" s="138"/>
      <c r="S150" s="31"/>
    </row>
    <row r="151">
      <c r="B151" s="138"/>
      <c r="S151" s="31"/>
    </row>
    <row r="152">
      <c r="B152" s="138"/>
      <c r="S152" s="31"/>
    </row>
    <row r="153">
      <c r="B153" s="138"/>
      <c r="S153" s="31"/>
    </row>
    <row r="154">
      <c r="B154" s="138"/>
      <c r="S154" s="31"/>
    </row>
    <row r="155">
      <c r="B155" s="138"/>
      <c r="S155" s="31"/>
    </row>
    <row r="156">
      <c r="B156" s="138"/>
      <c r="S156" s="31"/>
    </row>
    <row r="157">
      <c r="B157" s="138"/>
      <c r="S157" s="31"/>
    </row>
    <row r="158">
      <c r="B158" s="138"/>
      <c r="S158" s="31"/>
    </row>
    <row r="159">
      <c r="B159" s="138"/>
      <c r="S159" s="31"/>
    </row>
    <row r="160">
      <c r="B160" s="138"/>
      <c r="S160" s="31"/>
    </row>
    <row r="161">
      <c r="B161" s="138"/>
      <c r="S161" s="31"/>
    </row>
    <row r="162">
      <c r="B162" s="138"/>
      <c r="S162" s="31"/>
    </row>
    <row r="163">
      <c r="B163" s="138"/>
      <c r="S163" s="31"/>
    </row>
    <row r="164">
      <c r="B164" s="138"/>
      <c r="S164" s="31"/>
    </row>
    <row r="165">
      <c r="B165" s="138"/>
      <c r="S165" s="31"/>
    </row>
    <row r="166">
      <c r="B166" s="138"/>
      <c r="S166" s="31"/>
    </row>
    <row r="167">
      <c r="B167" s="138"/>
      <c r="S167" s="31"/>
    </row>
    <row r="168">
      <c r="B168" s="138"/>
      <c r="S168" s="31"/>
    </row>
    <row r="169">
      <c r="B169" s="138"/>
      <c r="S169" s="31"/>
    </row>
    <row r="170">
      <c r="B170" s="138"/>
      <c r="S170" s="31"/>
    </row>
    <row r="171">
      <c r="B171" s="138"/>
      <c r="S171" s="31"/>
    </row>
    <row r="172">
      <c r="B172" s="138"/>
      <c r="S172" s="31"/>
    </row>
    <row r="173">
      <c r="B173" s="138"/>
      <c r="S173" s="31"/>
    </row>
    <row r="174">
      <c r="B174" s="138"/>
      <c r="S174" s="31"/>
    </row>
    <row r="175">
      <c r="B175" s="138"/>
      <c r="S175" s="31"/>
    </row>
    <row r="176">
      <c r="B176" s="138"/>
      <c r="S176" s="31"/>
    </row>
    <row r="177">
      <c r="B177" s="138"/>
      <c r="S177" s="31"/>
    </row>
    <row r="178">
      <c r="B178" s="138"/>
      <c r="S178" s="31"/>
    </row>
    <row r="179">
      <c r="B179" s="138"/>
      <c r="S179" s="31"/>
    </row>
    <row r="180">
      <c r="B180" s="138"/>
      <c r="S180" s="31"/>
    </row>
    <row r="181">
      <c r="B181" s="138"/>
      <c r="S181" s="31"/>
    </row>
    <row r="182">
      <c r="B182" s="138"/>
      <c r="S182" s="31"/>
    </row>
    <row r="183">
      <c r="B183" s="138"/>
      <c r="S183" s="31"/>
    </row>
    <row r="184">
      <c r="B184" s="138"/>
      <c r="S184" s="31"/>
    </row>
    <row r="185">
      <c r="B185" s="138"/>
      <c r="S185" s="31"/>
    </row>
    <row r="186">
      <c r="B186" s="138"/>
      <c r="S186" s="31"/>
    </row>
    <row r="187">
      <c r="B187" s="138"/>
      <c r="S187" s="31"/>
    </row>
    <row r="188">
      <c r="B188" s="138"/>
      <c r="S188" s="31"/>
    </row>
    <row r="189">
      <c r="B189" s="138"/>
      <c r="S189" s="31"/>
    </row>
    <row r="190">
      <c r="B190" s="138"/>
      <c r="S190" s="31"/>
    </row>
    <row r="191">
      <c r="B191" s="138"/>
      <c r="S191" s="31"/>
    </row>
    <row r="192">
      <c r="B192" s="138"/>
      <c r="S192" s="31"/>
    </row>
    <row r="193">
      <c r="B193" s="138"/>
      <c r="S193" s="31"/>
    </row>
    <row r="194">
      <c r="B194" s="138"/>
      <c r="S194" s="31"/>
    </row>
    <row r="195">
      <c r="B195" s="138"/>
      <c r="S195" s="31"/>
    </row>
    <row r="196">
      <c r="B196" s="138"/>
      <c r="S196" s="31"/>
    </row>
    <row r="197">
      <c r="B197" s="138"/>
      <c r="S197" s="31"/>
    </row>
    <row r="198">
      <c r="B198" s="138"/>
      <c r="S198" s="31"/>
    </row>
    <row r="199">
      <c r="B199" s="138"/>
      <c r="S199" s="31"/>
    </row>
    <row r="200">
      <c r="B200" s="138"/>
      <c r="S200" s="31"/>
    </row>
    <row r="201">
      <c r="B201" s="138"/>
      <c r="S201" s="31"/>
    </row>
    <row r="202">
      <c r="B202" s="138"/>
      <c r="S202" s="31"/>
    </row>
    <row r="203">
      <c r="B203" s="138"/>
      <c r="S203" s="31"/>
    </row>
    <row r="204">
      <c r="B204" s="138"/>
      <c r="S204" s="31"/>
    </row>
    <row r="205">
      <c r="B205" s="138"/>
      <c r="S205" s="31"/>
    </row>
    <row r="206">
      <c r="B206" s="138"/>
      <c r="S206" s="31"/>
    </row>
    <row r="207">
      <c r="B207" s="138"/>
      <c r="S207" s="31"/>
    </row>
    <row r="208">
      <c r="B208" s="138"/>
      <c r="S208" s="31"/>
    </row>
    <row r="209">
      <c r="B209" s="138"/>
      <c r="S209" s="31"/>
    </row>
    <row r="210">
      <c r="B210" s="138"/>
      <c r="S210" s="31"/>
    </row>
    <row r="211">
      <c r="B211" s="138"/>
      <c r="S211" s="31"/>
    </row>
    <row r="212">
      <c r="B212" s="138"/>
      <c r="S212" s="31"/>
    </row>
    <row r="213">
      <c r="B213" s="138"/>
      <c r="S213" s="31"/>
    </row>
    <row r="214">
      <c r="B214" s="138"/>
      <c r="S214" s="31"/>
    </row>
    <row r="215">
      <c r="B215" s="138"/>
      <c r="S215" s="31"/>
    </row>
    <row r="216">
      <c r="B216" s="138"/>
      <c r="S216" s="31"/>
    </row>
    <row r="217">
      <c r="B217" s="138"/>
      <c r="S217" s="31"/>
    </row>
    <row r="218">
      <c r="B218" s="138"/>
      <c r="S218" s="31"/>
    </row>
    <row r="219">
      <c r="B219" s="138"/>
      <c r="S219" s="31"/>
    </row>
    <row r="220">
      <c r="B220" s="138"/>
      <c r="S220" s="31"/>
    </row>
    <row r="221">
      <c r="B221" s="138"/>
      <c r="S221" s="31"/>
    </row>
    <row r="222">
      <c r="B222" s="138"/>
      <c r="S222" s="31"/>
    </row>
    <row r="223">
      <c r="B223" s="138"/>
      <c r="S223" s="31"/>
    </row>
    <row r="224">
      <c r="B224" s="138"/>
      <c r="S224" s="31"/>
    </row>
    <row r="225">
      <c r="B225" s="138"/>
      <c r="S225" s="31"/>
    </row>
    <row r="226">
      <c r="B226" s="138"/>
      <c r="S226" s="31"/>
    </row>
    <row r="227">
      <c r="B227" s="138"/>
      <c r="S227" s="31"/>
    </row>
    <row r="228">
      <c r="B228" s="138"/>
      <c r="S228" s="31"/>
    </row>
    <row r="229">
      <c r="B229" s="138"/>
      <c r="S229" s="31"/>
    </row>
    <row r="230">
      <c r="B230" s="138"/>
      <c r="S230" s="31"/>
    </row>
    <row r="231">
      <c r="B231" s="138"/>
      <c r="S231" s="31"/>
    </row>
    <row r="232">
      <c r="B232" s="138"/>
      <c r="S232" s="31"/>
    </row>
    <row r="233">
      <c r="B233" s="138"/>
      <c r="S233" s="31"/>
    </row>
    <row r="234">
      <c r="B234" s="138"/>
      <c r="S234" s="31"/>
    </row>
    <row r="235">
      <c r="B235" s="138"/>
      <c r="S235" s="31"/>
    </row>
    <row r="236">
      <c r="B236" s="138"/>
      <c r="S236" s="31"/>
    </row>
    <row r="237">
      <c r="B237" s="138"/>
      <c r="S237" s="31"/>
    </row>
    <row r="238">
      <c r="B238" s="138"/>
      <c r="S238" s="31"/>
    </row>
    <row r="239">
      <c r="B239" s="138"/>
      <c r="S239" s="31"/>
    </row>
    <row r="240">
      <c r="B240" s="138"/>
      <c r="S240" s="31"/>
    </row>
    <row r="241">
      <c r="B241" s="138"/>
      <c r="S241" s="31"/>
    </row>
    <row r="242">
      <c r="B242" s="138"/>
      <c r="S242" s="31"/>
    </row>
    <row r="243">
      <c r="B243" s="138"/>
      <c r="S243" s="31"/>
    </row>
    <row r="244">
      <c r="B244" s="138"/>
      <c r="S244" s="31"/>
    </row>
    <row r="245">
      <c r="B245" s="138"/>
      <c r="S245" s="31"/>
    </row>
    <row r="246">
      <c r="B246" s="138"/>
      <c r="S246" s="31"/>
    </row>
    <row r="247">
      <c r="B247" s="138"/>
      <c r="S247" s="31"/>
    </row>
    <row r="248">
      <c r="B248" s="138"/>
      <c r="S248" s="31"/>
    </row>
    <row r="249">
      <c r="B249" s="138"/>
      <c r="S249" s="31"/>
    </row>
    <row r="250">
      <c r="B250" s="138"/>
      <c r="S250" s="31"/>
    </row>
    <row r="251">
      <c r="B251" s="138"/>
      <c r="S251" s="31"/>
    </row>
    <row r="252">
      <c r="B252" s="138"/>
      <c r="S252" s="31"/>
    </row>
    <row r="253">
      <c r="B253" s="138"/>
      <c r="S253" s="31"/>
    </row>
    <row r="254">
      <c r="B254" s="138"/>
      <c r="S254" s="31"/>
    </row>
    <row r="255">
      <c r="B255" s="138"/>
      <c r="S255" s="31"/>
    </row>
    <row r="256">
      <c r="B256" s="138"/>
      <c r="S256" s="31"/>
    </row>
    <row r="257">
      <c r="B257" s="138"/>
      <c r="S257" s="31"/>
    </row>
    <row r="258">
      <c r="B258" s="138"/>
      <c r="S258" s="31"/>
    </row>
    <row r="259">
      <c r="B259" s="138"/>
      <c r="S259" s="31"/>
    </row>
    <row r="260">
      <c r="B260" s="138"/>
      <c r="S260" s="31"/>
    </row>
    <row r="261">
      <c r="B261" s="138"/>
      <c r="S261" s="31"/>
    </row>
    <row r="262">
      <c r="B262" s="138"/>
      <c r="S262" s="31"/>
    </row>
    <row r="263">
      <c r="B263" s="138"/>
      <c r="S263" s="31"/>
    </row>
    <row r="264">
      <c r="B264" s="138"/>
      <c r="S264" s="31"/>
    </row>
    <row r="265">
      <c r="B265" s="138"/>
      <c r="S265" s="31"/>
    </row>
    <row r="266">
      <c r="B266" s="138"/>
      <c r="S266" s="31"/>
    </row>
    <row r="267">
      <c r="B267" s="138"/>
      <c r="S267" s="31"/>
    </row>
    <row r="268">
      <c r="B268" s="138"/>
      <c r="S268" s="31"/>
    </row>
    <row r="269">
      <c r="B269" s="138"/>
      <c r="S269" s="31"/>
    </row>
    <row r="270">
      <c r="B270" s="138"/>
      <c r="S270" s="31"/>
    </row>
    <row r="271">
      <c r="B271" s="138"/>
      <c r="S271" s="31"/>
    </row>
    <row r="272">
      <c r="B272" s="138"/>
      <c r="S272" s="31"/>
    </row>
    <row r="273">
      <c r="B273" s="138"/>
      <c r="S273" s="31"/>
    </row>
    <row r="274">
      <c r="B274" s="138"/>
      <c r="S274" s="31"/>
    </row>
    <row r="275">
      <c r="B275" s="138"/>
      <c r="S275" s="31"/>
    </row>
    <row r="276">
      <c r="B276" s="138"/>
      <c r="S276" s="31"/>
    </row>
    <row r="277">
      <c r="B277" s="138"/>
      <c r="S277" s="31"/>
    </row>
    <row r="278">
      <c r="B278" s="138"/>
      <c r="S278" s="31"/>
    </row>
    <row r="279">
      <c r="B279" s="138"/>
      <c r="S279" s="31"/>
    </row>
    <row r="280">
      <c r="B280" s="138"/>
      <c r="S280" s="31"/>
    </row>
    <row r="281">
      <c r="B281" s="138"/>
      <c r="S281" s="31"/>
    </row>
    <row r="282">
      <c r="B282" s="138"/>
      <c r="S282" s="31"/>
    </row>
    <row r="283">
      <c r="B283" s="138"/>
      <c r="S283" s="31"/>
    </row>
    <row r="284">
      <c r="B284" s="138"/>
      <c r="S284" s="31"/>
    </row>
    <row r="285">
      <c r="B285" s="138"/>
      <c r="S285" s="31"/>
    </row>
    <row r="286">
      <c r="B286" s="138"/>
      <c r="S286" s="31"/>
    </row>
    <row r="287">
      <c r="B287" s="138"/>
      <c r="S287" s="31"/>
    </row>
    <row r="288">
      <c r="B288" s="138"/>
      <c r="S288" s="31"/>
    </row>
    <row r="289">
      <c r="B289" s="138"/>
      <c r="S289" s="31"/>
    </row>
    <row r="290">
      <c r="B290" s="138"/>
      <c r="S290" s="31"/>
    </row>
    <row r="291">
      <c r="B291" s="138"/>
      <c r="S291" s="31"/>
    </row>
    <row r="292">
      <c r="B292" s="138"/>
      <c r="S292" s="31"/>
    </row>
    <row r="293">
      <c r="B293" s="138"/>
      <c r="S293" s="31"/>
    </row>
    <row r="294">
      <c r="B294" s="138"/>
      <c r="S294" s="31"/>
    </row>
    <row r="295">
      <c r="B295" s="138"/>
      <c r="S295" s="31"/>
    </row>
    <row r="296">
      <c r="B296" s="138"/>
      <c r="S296" s="31"/>
    </row>
    <row r="297">
      <c r="B297" s="138"/>
      <c r="S297" s="31"/>
    </row>
    <row r="298">
      <c r="B298" s="138"/>
      <c r="S298" s="31"/>
    </row>
    <row r="299">
      <c r="B299" s="138"/>
      <c r="S299" s="31"/>
    </row>
    <row r="300">
      <c r="B300" s="138"/>
      <c r="S300" s="31"/>
    </row>
    <row r="301">
      <c r="B301" s="138"/>
      <c r="S301" s="31"/>
    </row>
    <row r="302">
      <c r="B302" s="138"/>
      <c r="S302" s="31"/>
    </row>
    <row r="303">
      <c r="B303" s="138"/>
      <c r="S303" s="31"/>
    </row>
    <row r="304">
      <c r="B304" s="138"/>
      <c r="S304" s="31"/>
    </row>
    <row r="305">
      <c r="B305" s="138"/>
      <c r="S305" s="31"/>
    </row>
    <row r="306">
      <c r="B306" s="138"/>
      <c r="S306" s="31"/>
    </row>
    <row r="307">
      <c r="B307" s="138"/>
      <c r="S307" s="31"/>
    </row>
    <row r="308">
      <c r="B308" s="138"/>
      <c r="S308" s="31"/>
    </row>
    <row r="309">
      <c r="B309" s="138"/>
      <c r="S309" s="31"/>
    </row>
    <row r="310">
      <c r="B310" s="138"/>
      <c r="S310" s="31"/>
    </row>
    <row r="311">
      <c r="B311" s="138"/>
      <c r="S311" s="31"/>
    </row>
    <row r="312">
      <c r="B312" s="138"/>
      <c r="S312" s="31"/>
    </row>
    <row r="313">
      <c r="B313" s="138"/>
      <c r="S313" s="31"/>
    </row>
    <row r="314">
      <c r="B314" s="138"/>
      <c r="S314" s="31"/>
    </row>
    <row r="315">
      <c r="B315" s="138"/>
      <c r="S315" s="31"/>
    </row>
    <row r="316">
      <c r="B316" s="138"/>
      <c r="S316" s="31"/>
    </row>
    <row r="317">
      <c r="B317" s="138"/>
      <c r="S317" s="31"/>
    </row>
    <row r="318">
      <c r="B318" s="138"/>
      <c r="S318" s="31"/>
    </row>
    <row r="319">
      <c r="B319" s="138"/>
      <c r="S319" s="31"/>
    </row>
    <row r="320">
      <c r="B320" s="138"/>
      <c r="S320" s="31"/>
    </row>
    <row r="321">
      <c r="B321" s="138"/>
      <c r="S321" s="31"/>
    </row>
    <row r="322">
      <c r="B322" s="138"/>
      <c r="S322" s="31"/>
    </row>
    <row r="323">
      <c r="B323" s="138"/>
      <c r="S323" s="31"/>
    </row>
    <row r="324">
      <c r="B324" s="138"/>
      <c r="S324" s="31"/>
    </row>
    <row r="325">
      <c r="B325" s="138"/>
      <c r="S325" s="31"/>
    </row>
    <row r="326">
      <c r="B326" s="138"/>
      <c r="S326" s="31"/>
    </row>
    <row r="327">
      <c r="B327" s="138"/>
      <c r="S327" s="31"/>
    </row>
    <row r="328">
      <c r="B328" s="138"/>
      <c r="S328" s="31"/>
    </row>
    <row r="329">
      <c r="B329" s="138"/>
      <c r="S329" s="31"/>
    </row>
    <row r="330">
      <c r="B330" s="138"/>
      <c r="S330" s="31"/>
    </row>
    <row r="331">
      <c r="B331" s="138"/>
      <c r="S331" s="31"/>
    </row>
    <row r="332">
      <c r="B332" s="138"/>
      <c r="S332" s="31"/>
    </row>
    <row r="333">
      <c r="B333" s="138"/>
      <c r="S333" s="31"/>
    </row>
    <row r="334">
      <c r="B334" s="138"/>
      <c r="S334" s="31"/>
    </row>
    <row r="335">
      <c r="B335" s="138"/>
      <c r="S335" s="31"/>
    </row>
    <row r="336">
      <c r="B336" s="138"/>
      <c r="S336" s="31"/>
    </row>
    <row r="337">
      <c r="B337" s="138"/>
      <c r="S337" s="31"/>
    </row>
    <row r="338">
      <c r="B338" s="138"/>
      <c r="S338" s="31"/>
    </row>
    <row r="339">
      <c r="B339" s="138"/>
      <c r="S339" s="31"/>
    </row>
    <row r="340">
      <c r="B340" s="138"/>
      <c r="S340" s="31"/>
    </row>
    <row r="341">
      <c r="B341" s="138"/>
      <c r="S341" s="31"/>
    </row>
    <row r="342">
      <c r="B342" s="138"/>
      <c r="S342" s="31"/>
    </row>
    <row r="343">
      <c r="B343" s="138"/>
      <c r="S343" s="31"/>
    </row>
    <row r="344">
      <c r="B344" s="138"/>
      <c r="S344" s="31"/>
    </row>
    <row r="345">
      <c r="B345" s="138"/>
      <c r="S345" s="31"/>
    </row>
    <row r="346">
      <c r="B346" s="138"/>
      <c r="S346" s="31"/>
    </row>
    <row r="347">
      <c r="B347" s="138"/>
      <c r="S347" s="31"/>
    </row>
    <row r="348">
      <c r="B348" s="138"/>
      <c r="S348" s="31"/>
    </row>
    <row r="349">
      <c r="B349" s="138"/>
      <c r="S349" s="31"/>
    </row>
    <row r="350">
      <c r="B350" s="138"/>
      <c r="S350" s="31"/>
    </row>
    <row r="351">
      <c r="B351" s="138"/>
      <c r="S351" s="31"/>
    </row>
    <row r="352">
      <c r="B352" s="138"/>
      <c r="S352" s="31"/>
    </row>
    <row r="353">
      <c r="B353" s="138"/>
      <c r="S353" s="31"/>
    </row>
    <row r="354">
      <c r="B354" s="138"/>
      <c r="S354" s="31"/>
    </row>
    <row r="355">
      <c r="B355" s="138"/>
      <c r="S355" s="31"/>
    </row>
    <row r="356">
      <c r="B356" s="138"/>
      <c r="S356" s="31"/>
    </row>
    <row r="357">
      <c r="B357" s="138"/>
      <c r="S357" s="31"/>
    </row>
    <row r="358">
      <c r="B358" s="138"/>
      <c r="S358" s="31"/>
    </row>
    <row r="359">
      <c r="B359" s="138"/>
      <c r="S359" s="31"/>
    </row>
    <row r="360">
      <c r="B360" s="138"/>
      <c r="S360" s="31"/>
    </row>
    <row r="361">
      <c r="B361" s="138"/>
      <c r="S361" s="31"/>
    </row>
    <row r="362">
      <c r="B362" s="138"/>
      <c r="S362" s="31"/>
    </row>
    <row r="363">
      <c r="B363" s="138"/>
      <c r="S363" s="31"/>
    </row>
    <row r="364">
      <c r="B364" s="138"/>
      <c r="S364" s="31"/>
    </row>
    <row r="365">
      <c r="B365" s="138"/>
      <c r="S365" s="31"/>
    </row>
    <row r="366">
      <c r="B366" s="138"/>
      <c r="S366" s="31"/>
    </row>
    <row r="367">
      <c r="B367" s="138"/>
      <c r="S367" s="31"/>
    </row>
    <row r="368">
      <c r="B368" s="138"/>
      <c r="S368" s="31"/>
    </row>
    <row r="369">
      <c r="B369" s="138"/>
      <c r="S369" s="31"/>
    </row>
    <row r="370">
      <c r="B370" s="138"/>
      <c r="S370" s="31"/>
    </row>
    <row r="371">
      <c r="B371" s="138"/>
      <c r="S371" s="31"/>
    </row>
    <row r="372">
      <c r="B372" s="138"/>
      <c r="S372" s="31"/>
    </row>
    <row r="373">
      <c r="B373" s="138"/>
      <c r="S373" s="31"/>
    </row>
    <row r="374">
      <c r="B374" s="138"/>
      <c r="S374" s="31"/>
    </row>
    <row r="375">
      <c r="B375" s="138"/>
      <c r="S375" s="31"/>
    </row>
    <row r="376">
      <c r="B376" s="138"/>
      <c r="S376" s="31"/>
    </row>
    <row r="377">
      <c r="B377" s="138"/>
      <c r="S377" s="31"/>
    </row>
    <row r="378">
      <c r="B378" s="138"/>
      <c r="S378" s="31"/>
    </row>
    <row r="379">
      <c r="B379" s="138"/>
      <c r="S379" s="31"/>
    </row>
    <row r="380">
      <c r="B380" s="138"/>
      <c r="S380" s="31"/>
    </row>
    <row r="381">
      <c r="B381" s="138"/>
      <c r="S381" s="31"/>
    </row>
    <row r="382">
      <c r="B382" s="138"/>
      <c r="S382" s="31"/>
    </row>
    <row r="383">
      <c r="B383" s="138"/>
      <c r="S383" s="31"/>
    </row>
    <row r="384">
      <c r="B384" s="138"/>
      <c r="S384" s="31"/>
    </row>
    <row r="385">
      <c r="B385" s="138"/>
      <c r="S385" s="31"/>
    </row>
    <row r="386">
      <c r="B386" s="138"/>
      <c r="S386" s="31"/>
    </row>
    <row r="387">
      <c r="B387" s="138"/>
      <c r="S387" s="31"/>
    </row>
    <row r="388">
      <c r="B388" s="138"/>
      <c r="S388" s="31"/>
    </row>
    <row r="389">
      <c r="B389" s="138"/>
      <c r="S389" s="31"/>
    </row>
    <row r="390">
      <c r="B390" s="138"/>
      <c r="S390" s="31"/>
    </row>
    <row r="391">
      <c r="B391" s="138"/>
      <c r="S391" s="31"/>
    </row>
    <row r="392">
      <c r="B392" s="138"/>
      <c r="S392" s="31"/>
    </row>
    <row r="393">
      <c r="B393" s="138"/>
      <c r="S393" s="31"/>
    </row>
    <row r="394">
      <c r="B394" s="138"/>
      <c r="S394" s="31"/>
    </row>
    <row r="395">
      <c r="B395" s="138"/>
      <c r="S395" s="31"/>
    </row>
    <row r="396">
      <c r="B396" s="138"/>
      <c r="S396" s="31"/>
    </row>
    <row r="397">
      <c r="B397" s="138"/>
      <c r="S397" s="31"/>
    </row>
    <row r="398">
      <c r="B398" s="138"/>
      <c r="S398" s="31"/>
    </row>
    <row r="399">
      <c r="B399" s="138"/>
      <c r="S399" s="31"/>
    </row>
    <row r="400">
      <c r="B400" s="138"/>
      <c r="S400" s="31"/>
    </row>
    <row r="401">
      <c r="B401" s="138"/>
      <c r="S401" s="31"/>
    </row>
    <row r="402">
      <c r="B402" s="138"/>
      <c r="S402" s="31"/>
    </row>
    <row r="403">
      <c r="B403" s="138"/>
      <c r="S403" s="31"/>
    </row>
    <row r="404">
      <c r="B404" s="138"/>
      <c r="S404" s="31"/>
    </row>
    <row r="405">
      <c r="B405" s="138"/>
      <c r="S405" s="31"/>
    </row>
    <row r="406">
      <c r="B406" s="138"/>
      <c r="S406" s="31"/>
    </row>
    <row r="407">
      <c r="B407" s="138"/>
      <c r="S407" s="31"/>
    </row>
    <row r="408">
      <c r="B408" s="138"/>
      <c r="S408" s="31"/>
    </row>
    <row r="409">
      <c r="B409" s="138"/>
      <c r="S409" s="31"/>
    </row>
    <row r="410">
      <c r="B410" s="138"/>
      <c r="S410" s="31"/>
    </row>
    <row r="411">
      <c r="B411" s="138"/>
      <c r="S411" s="31"/>
    </row>
    <row r="412">
      <c r="B412" s="138"/>
      <c r="S412" s="31"/>
    </row>
    <row r="413">
      <c r="B413" s="138"/>
      <c r="S413" s="31"/>
    </row>
    <row r="414">
      <c r="B414" s="138"/>
      <c r="S414" s="31"/>
    </row>
    <row r="415">
      <c r="B415" s="138"/>
      <c r="S415" s="31"/>
    </row>
    <row r="416">
      <c r="B416" s="138"/>
      <c r="S416" s="31"/>
    </row>
    <row r="417">
      <c r="B417" s="138"/>
      <c r="S417" s="31"/>
    </row>
    <row r="418">
      <c r="B418" s="138"/>
      <c r="S418" s="31"/>
    </row>
    <row r="419">
      <c r="B419" s="138"/>
      <c r="S419" s="31"/>
    </row>
    <row r="420">
      <c r="B420" s="138"/>
      <c r="S420" s="31"/>
    </row>
    <row r="421">
      <c r="B421" s="138"/>
      <c r="S421" s="31"/>
    </row>
    <row r="422">
      <c r="B422" s="138"/>
      <c r="S422" s="31"/>
    </row>
    <row r="423">
      <c r="B423" s="138"/>
      <c r="S423" s="31"/>
    </row>
    <row r="424">
      <c r="B424" s="138"/>
      <c r="S424" s="31"/>
    </row>
    <row r="425">
      <c r="B425" s="138"/>
      <c r="S425" s="31"/>
    </row>
    <row r="426">
      <c r="B426" s="138"/>
      <c r="S426" s="31"/>
    </row>
    <row r="427">
      <c r="B427" s="138"/>
      <c r="S427" s="31"/>
    </row>
    <row r="428">
      <c r="B428" s="138"/>
      <c r="S428" s="31"/>
    </row>
    <row r="429">
      <c r="B429" s="138"/>
      <c r="S429" s="31"/>
    </row>
    <row r="430">
      <c r="B430" s="138"/>
      <c r="S430" s="31"/>
    </row>
    <row r="431">
      <c r="B431" s="138"/>
      <c r="S431" s="31"/>
    </row>
    <row r="432">
      <c r="B432" s="138"/>
      <c r="S432" s="31"/>
    </row>
    <row r="433">
      <c r="B433" s="138"/>
      <c r="S433" s="31"/>
    </row>
    <row r="434">
      <c r="B434" s="138"/>
      <c r="S434" s="31"/>
    </row>
    <row r="435">
      <c r="B435" s="138"/>
      <c r="S435" s="31"/>
    </row>
    <row r="436">
      <c r="B436" s="138"/>
      <c r="S436" s="31"/>
    </row>
    <row r="437">
      <c r="B437" s="138"/>
      <c r="S437" s="31"/>
    </row>
    <row r="438">
      <c r="B438" s="138"/>
      <c r="S438" s="31"/>
    </row>
    <row r="439">
      <c r="B439" s="138"/>
      <c r="S439" s="31"/>
    </row>
    <row r="440">
      <c r="B440" s="138"/>
      <c r="S440" s="31"/>
    </row>
    <row r="441">
      <c r="B441" s="138"/>
      <c r="S441" s="31"/>
    </row>
    <row r="442">
      <c r="B442" s="138"/>
      <c r="S442" s="31"/>
    </row>
    <row r="443">
      <c r="B443" s="138"/>
      <c r="S443" s="31"/>
    </row>
    <row r="444">
      <c r="B444" s="138"/>
      <c r="S444" s="31"/>
    </row>
    <row r="445">
      <c r="B445" s="138"/>
      <c r="S445" s="31"/>
    </row>
    <row r="446">
      <c r="B446" s="138"/>
      <c r="S446" s="31"/>
    </row>
    <row r="447">
      <c r="B447" s="138"/>
      <c r="S447" s="31"/>
    </row>
    <row r="448">
      <c r="B448" s="138"/>
      <c r="S448" s="31"/>
    </row>
    <row r="449">
      <c r="B449" s="138"/>
      <c r="S449" s="31"/>
    </row>
    <row r="450">
      <c r="B450" s="138"/>
      <c r="S450" s="31"/>
    </row>
    <row r="451">
      <c r="B451" s="138"/>
      <c r="S451" s="31"/>
    </row>
    <row r="452">
      <c r="B452" s="138"/>
      <c r="S452" s="31"/>
    </row>
    <row r="453">
      <c r="B453" s="138"/>
      <c r="S453" s="31"/>
    </row>
    <row r="454">
      <c r="B454" s="138"/>
      <c r="S454" s="31"/>
    </row>
    <row r="455">
      <c r="B455" s="138"/>
      <c r="S455" s="31"/>
    </row>
    <row r="456">
      <c r="B456" s="138"/>
      <c r="S456" s="31"/>
    </row>
    <row r="457">
      <c r="B457" s="138"/>
      <c r="S457" s="31"/>
    </row>
    <row r="458">
      <c r="B458" s="138"/>
      <c r="S458" s="31"/>
    </row>
    <row r="459">
      <c r="B459" s="138"/>
      <c r="S459" s="31"/>
    </row>
    <row r="460">
      <c r="B460" s="138"/>
      <c r="S460" s="31"/>
    </row>
    <row r="461">
      <c r="B461" s="138"/>
      <c r="S461" s="31"/>
    </row>
    <row r="462">
      <c r="B462" s="138"/>
      <c r="S462" s="31"/>
    </row>
    <row r="463">
      <c r="B463" s="138"/>
      <c r="S463" s="31"/>
    </row>
    <row r="464">
      <c r="B464" s="138"/>
      <c r="S464" s="31"/>
    </row>
    <row r="465">
      <c r="B465" s="138"/>
      <c r="S465" s="31"/>
    </row>
    <row r="466">
      <c r="B466" s="138"/>
      <c r="S466" s="31"/>
    </row>
    <row r="467">
      <c r="B467" s="138"/>
      <c r="S467" s="31"/>
    </row>
    <row r="468">
      <c r="B468" s="138"/>
      <c r="S468" s="31"/>
    </row>
    <row r="469">
      <c r="B469" s="138"/>
      <c r="S469" s="31"/>
    </row>
    <row r="470">
      <c r="B470" s="138"/>
      <c r="S470" s="31"/>
    </row>
    <row r="471">
      <c r="B471" s="138"/>
      <c r="S471" s="31"/>
    </row>
    <row r="472">
      <c r="B472" s="138"/>
      <c r="S472" s="31"/>
    </row>
    <row r="473">
      <c r="B473" s="138"/>
      <c r="S473" s="31"/>
    </row>
    <row r="474">
      <c r="B474" s="138"/>
      <c r="S474" s="31"/>
    </row>
    <row r="475">
      <c r="B475" s="138"/>
      <c r="S475" s="31"/>
    </row>
    <row r="476">
      <c r="B476" s="138"/>
      <c r="S476" s="31"/>
    </row>
    <row r="477">
      <c r="B477" s="138"/>
      <c r="S477" s="31"/>
    </row>
    <row r="478">
      <c r="B478" s="138"/>
      <c r="S478" s="31"/>
    </row>
    <row r="479">
      <c r="B479" s="138"/>
      <c r="S479" s="31"/>
    </row>
    <row r="480">
      <c r="B480" s="138"/>
      <c r="S480" s="31"/>
    </row>
    <row r="481">
      <c r="B481" s="138"/>
      <c r="S481" s="31"/>
    </row>
    <row r="482">
      <c r="B482" s="138"/>
      <c r="S482" s="31"/>
    </row>
    <row r="483">
      <c r="B483" s="138"/>
      <c r="S483" s="31"/>
    </row>
    <row r="484">
      <c r="B484" s="138"/>
      <c r="S484" s="31"/>
    </row>
    <row r="485">
      <c r="B485" s="138"/>
      <c r="S485" s="31"/>
    </row>
    <row r="486">
      <c r="B486" s="138"/>
      <c r="S486" s="31"/>
    </row>
    <row r="487">
      <c r="B487" s="138"/>
      <c r="S487" s="31"/>
    </row>
    <row r="488">
      <c r="B488" s="138"/>
      <c r="S488" s="31"/>
    </row>
    <row r="489">
      <c r="B489" s="138"/>
      <c r="S489" s="31"/>
    </row>
    <row r="490">
      <c r="B490" s="138"/>
      <c r="S490" s="31"/>
    </row>
    <row r="491">
      <c r="B491" s="138"/>
      <c r="S491" s="31"/>
    </row>
    <row r="492">
      <c r="B492" s="138"/>
      <c r="S492" s="31"/>
    </row>
    <row r="493">
      <c r="B493" s="138"/>
      <c r="S493" s="31"/>
    </row>
    <row r="494">
      <c r="B494" s="138"/>
      <c r="S494" s="31"/>
    </row>
    <row r="495">
      <c r="B495" s="138"/>
      <c r="S495" s="31"/>
    </row>
    <row r="496">
      <c r="B496" s="138"/>
      <c r="S496" s="31"/>
    </row>
    <row r="497">
      <c r="B497" s="138"/>
      <c r="S497" s="31"/>
    </row>
    <row r="498">
      <c r="B498" s="138"/>
      <c r="S498" s="31"/>
    </row>
    <row r="499">
      <c r="B499" s="138"/>
      <c r="S499" s="31"/>
    </row>
    <row r="500">
      <c r="B500" s="138"/>
      <c r="S500" s="31"/>
    </row>
    <row r="501">
      <c r="B501" s="138"/>
      <c r="S501" s="31"/>
    </row>
    <row r="502">
      <c r="B502" s="138"/>
      <c r="S502" s="31"/>
    </row>
    <row r="503">
      <c r="B503" s="138"/>
      <c r="S503" s="31"/>
    </row>
    <row r="504">
      <c r="B504" s="138"/>
      <c r="S504" s="31"/>
    </row>
    <row r="505">
      <c r="B505" s="138"/>
      <c r="S505" s="31"/>
    </row>
    <row r="506">
      <c r="B506" s="138"/>
      <c r="S506" s="31"/>
    </row>
    <row r="507">
      <c r="B507" s="138"/>
      <c r="S507" s="31"/>
    </row>
    <row r="508">
      <c r="B508" s="138"/>
      <c r="S508" s="31"/>
    </row>
    <row r="509">
      <c r="B509" s="138"/>
      <c r="S509" s="31"/>
    </row>
    <row r="510">
      <c r="B510" s="138"/>
      <c r="S510" s="31"/>
    </row>
    <row r="511">
      <c r="B511" s="138"/>
      <c r="S511" s="31"/>
    </row>
    <row r="512">
      <c r="B512" s="138"/>
      <c r="S512" s="31"/>
    </row>
    <row r="513">
      <c r="B513" s="138"/>
      <c r="S513" s="31"/>
    </row>
    <row r="514">
      <c r="B514" s="138"/>
      <c r="S514" s="31"/>
    </row>
    <row r="515">
      <c r="B515" s="138"/>
      <c r="S515" s="31"/>
    </row>
    <row r="516">
      <c r="B516" s="138"/>
      <c r="S516" s="31"/>
    </row>
    <row r="517">
      <c r="B517" s="138"/>
      <c r="S517" s="31"/>
    </row>
    <row r="518">
      <c r="B518" s="138"/>
      <c r="S518" s="31"/>
    </row>
    <row r="519">
      <c r="B519" s="138"/>
      <c r="S519" s="31"/>
    </row>
    <row r="520">
      <c r="B520" s="138"/>
      <c r="S520" s="31"/>
    </row>
    <row r="521">
      <c r="B521" s="138"/>
      <c r="S521" s="31"/>
    </row>
    <row r="522">
      <c r="B522" s="138"/>
      <c r="S522" s="31"/>
    </row>
    <row r="523">
      <c r="B523" s="138"/>
      <c r="S523" s="31"/>
    </row>
    <row r="524">
      <c r="B524" s="138"/>
      <c r="S524" s="31"/>
    </row>
    <row r="525">
      <c r="B525" s="138"/>
      <c r="S525" s="31"/>
    </row>
    <row r="526">
      <c r="B526" s="138"/>
      <c r="S526" s="31"/>
    </row>
    <row r="527">
      <c r="B527" s="138"/>
      <c r="S527" s="31"/>
    </row>
    <row r="528">
      <c r="B528" s="138"/>
      <c r="S528" s="31"/>
    </row>
    <row r="529">
      <c r="B529" s="138"/>
      <c r="S529" s="31"/>
    </row>
    <row r="530">
      <c r="B530" s="138"/>
      <c r="S530" s="31"/>
    </row>
    <row r="531">
      <c r="B531" s="138"/>
      <c r="S531" s="31"/>
    </row>
    <row r="532">
      <c r="B532" s="138"/>
      <c r="S532" s="31"/>
    </row>
    <row r="533">
      <c r="B533" s="138"/>
      <c r="S533" s="31"/>
    </row>
    <row r="534">
      <c r="B534" s="138"/>
      <c r="S534" s="31"/>
    </row>
    <row r="535">
      <c r="B535" s="138"/>
      <c r="S535" s="31"/>
    </row>
    <row r="536">
      <c r="B536" s="138"/>
      <c r="S536" s="31"/>
    </row>
    <row r="537">
      <c r="B537" s="138"/>
      <c r="S537" s="31"/>
    </row>
    <row r="538">
      <c r="B538" s="138"/>
      <c r="S538" s="31"/>
    </row>
    <row r="539">
      <c r="B539" s="138"/>
      <c r="S539" s="31"/>
    </row>
    <row r="540">
      <c r="B540" s="138"/>
      <c r="S540" s="31"/>
    </row>
    <row r="541">
      <c r="B541" s="138"/>
      <c r="S541" s="31"/>
    </row>
    <row r="542">
      <c r="B542" s="138"/>
      <c r="S542" s="31"/>
    </row>
    <row r="543">
      <c r="B543" s="138"/>
      <c r="S543" s="31"/>
    </row>
    <row r="544">
      <c r="B544" s="138"/>
      <c r="S544" s="31"/>
    </row>
    <row r="545">
      <c r="B545" s="138"/>
      <c r="S545" s="31"/>
    </row>
    <row r="546">
      <c r="B546" s="138"/>
      <c r="S546" s="31"/>
    </row>
    <row r="547">
      <c r="B547" s="138"/>
      <c r="S547" s="31"/>
    </row>
    <row r="548">
      <c r="B548" s="138"/>
      <c r="S548" s="31"/>
    </row>
    <row r="549">
      <c r="B549" s="138"/>
      <c r="S549" s="31"/>
    </row>
    <row r="550">
      <c r="B550" s="138"/>
      <c r="S550" s="31"/>
    </row>
    <row r="551">
      <c r="B551" s="138"/>
      <c r="S551" s="31"/>
    </row>
    <row r="552">
      <c r="B552" s="138"/>
      <c r="S552" s="31"/>
    </row>
    <row r="553">
      <c r="B553" s="138"/>
      <c r="S553" s="31"/>
    </row>
    <row r="554">
      <c r="B554" s="138"/>
      <c r="S554" s="31"/>
    </row>
    <row r="555">
      <c r="B555" s="138"/>
      <c r="S555" s="31"/>
    </row>
    <row r="556">
      <c r="B556" s="138"/>
      <c r="S556" s="31"/>
    </row>
    <row r="557">
      <c r="B557" s="138"/>
      <c r="S557" s="31"/>
    </row>
    <row r="558">
      <c r="B558" s="138"/>
      <c r="S558" s="31"/>
    </row>
    <row r="559">
      <c r="B559" s="138"/>
      <c r="S559" s="31"/>
    </row>
    <row r="560">
      <c r="B560" s="138"/>
      <c r="S560" s="31"/>
    </row>
    <row r="561">
      <c r="B561" s="138"/>
      <c r="S561" s="31"/>
    </row>
    <row r="562">
      <c r="B562" s="138"/>
      <c r="S562" s="31"/>
    </row>
    <row r="563">
      <c r="B563" s="138"/>
      <c r="S563" s="31"/>
    </row>
    <row r="564">
      <c r="B564" s="138"/>
      <c r="S564" s="31"/>
    </row>
    <row r="565">
      <c r="B565" s="138"/>
      <c r="S565" s="31"/>
    </row>
    <row r="566">
      <c r="B566" s="138"/>
      <c r="S566" s="31"/>
    </row>
    <row r="567">
      <c r="B567" s="138"/>
      <c r="S567" s="31"/>
    </row>
    <row r="568">
      <c r="B568" s="138"/>
      <c r="S568" s="31"/>
    </row>
    <row r="569">
      <c r="B569" s="138"/>
      <c r="S569" s="31"/>
    </row>
    <row r="570">
      <c r="B570" s="138"/>
      <c r="S570" s="31"/>
    </row>
    <row r="571">
      <c r="B571" s="138"/>
      <c r="S571" s="31"/>
    </row>
    <row r="572">
      <c r="B572" s="138"/>
      <c r="S572" s="31"/>
    </row>
    <row r="573">
      <c r="B573" s="138"/>
      <c r="S573" s="31"/>
    </row>
    <row r="574">
      <c r="B574" s="138"/>
      <c r="S574" s="31"/>
    </row>
    <row r="575">
      <c r="B575" s="138"/>
      <c r="S575" s="31"/>
    </row>
    <row r="576">
      <c r="B576" s="138"/>
      <c r="S576" s="31"/>
    </row>
    <row r="577">
      <c r="B577" s="138"/>
      <c r="S577" s="31"/>
    </row>
    <row r="578">
      <c r="B578" s="138"/>
      <c r="S578" s="31"/>
    </row>
    <row r="579">
      <c r="B579" s="138"/>
      <c r="S579" s="31"/>
    </row>
    <row r="580">
      <c r="B580" s="138"/>
      <c r="S580" s="31"/>
    </row>
    <row r="581">
      <c r="B581" s="138"/>
      <c r="S581" s="31"/>
    </row>
    <row r="582">
      <c r="B582" s="138"/>
      <c r="S582" s="31"/>
    </row>
    <row r="583">
      <c r="B583" s="138"/>
      <c r="S583" s="31"/>
    </row>
    <row r="584">
      <c r="B584" s="138"/>
      <c r="S584" s="31"/>
    </row>
    <row r="585">
      <c r="B585" s="138"/>
      <c r="S585" s="31"/>
    </row>
    <row r="586">
      <c r="B586" s="138"/>
      <c r="S586" s="31"/>
    </row>
    <row r="587">
      <c r="B587" s="138"/>
      <c r="S587" s="31"/>
    </row>
    <row r="588">
      <c r="B588" s="138"/>
      <c r="S588" s="31"/>
    </row>
    <row r="589">
      <c r="B589" s="138"/>
      <c r="S589" s="31"/>
    </row>
    <row r="590">
      <c r="B590" s="138"/>
      <c r="S590" s="31"/>
    </row>
    <row r="591">
      <c r="B591" s="138"/>
      <c r="S591" s="31"/>
    </row>
    <row r="592">
      <c r="B592" s="138"/>
      <c r="S592" s="31"/>
    </row>
    <row r="593">
      <c r="B593" s="138"/>
      <c r="S593" s="31"/>
    </row>
    <row r="594">
      <c r="B594" s="138"/>
      <c r="S594" s="31"/>
    </row>
    <row r="595">
      <c r="B595" s="138"/>
      <c r="S595" s="31"/>
    </row>
    <row r="596">
      <c r="B596" s="138"/>
      <c r="S596" s="31"/>
    </row>
    <row r="597">
      <c r="B597" s="138"/>
      <c r="S597" s="31"/>
    </row>
    <row r="598">
      <c r="B598" s="138"/>
      <c r="S598" s="31"/>
    </row>
    <row r="599">
      <c r="B599" s="138"/>
      <c r="S599" s="31"/>
    </row>
    <row r="600">
      <c r="B600" s="138"/>
      <c r="S600" s="31"/>
    </row>
    <row r="601">
      <c r="B601" s="138"/>
      <c r="S601" s="31"/>
    </row>
    <row r="602">
      <c r="B602" s="138"/>
      <c r="S602" s="31"/>
    </row>
    <row r="603">
      <c r="B603" s="138"/>
      <c r="S603" s="31"/>
    </row>
    <row r="604">
      <c r="B604" s="138"/>
      <c r="S604" s="31"/>
    </row>
    <row r="605">
      <c r="B605" s="138"/>
      <c r="S605" s="31"/>
    </row>
    <row r="606">
      <c r="B606" s="138"/>
      <c r="S606" s="31"/>
    </row>
    <row r="607">
      <c r="B607" s="138"/>
      <c r="S607" s="31"/>
    </row>
    <row r="608">
      <c r="B608" s="138"/>
      <c r="S608" s="31"/>
    </row>
    <row r="609">
      <c r="B609" s="138"/>
      <c r="S609" s="31"/>
    </row>
    <row r="610">
      <c r="B610" s="138"/>
      <c r="S610" s="31"/>
    </row>
    <row r="611">
      <c r="B611" s="138"/>
      <c r="S611" s="31"/>
    </row>
    <row r="612">
      <c r="B612" s="138"/>
      <c r="S612" s="31"/>
    </row>
    <row r="613">
      <c r="B613" s="138"/>
      <c r="S613" s="31"/>
    </row>
    <row r="614">
      <c r="B614" s="138"/>
      <c r="S614" s="31"/>
    </row>
    <row r="615">
      <c r="B615" s="138"/>
      <c r="S615" s="31"/>
    </row>
    <row r="616">
      <c r="B616" s="138"/>
      <c r="S616" s="31"/>
    </row>
    <row r="617">
      <c r="B617" s="138"/>
      <c r="S617" s="31"/>
    </row>
    <row r="618">
      <c r="B618" s="138"/>
      <c r="S618" s="31"/>
    </row>
    <row r="619">
      <c r="B619" s="138"/>
      <c r="S619" s="31"/>
    </row>
    <row r="620">
      <c r="B620" s="138"/>
      <c r="S620" s="31"/>
    </row>
    <row r="621">
      <c r="B621" s="138"/>
      <c r="S621" s="31"/>
    </row>
    <row r="622">
      <c r="B622" s="138"/>
      <c r="S622" s="31"/>
    </row>
    <row r="623">
      <c r="B623" s="138"/>
      <c r="S623" s="31"/>
    </row>
    <row r="624">
      <c r="B624" s="138"/>
      <c r="S624" s="31"/>
    </row>
    <row r="625">
      <c r="B625" s="138"/>
      <c r="S625" s="31"/>
    </row>
    <row r="626">
      <c r="B626" s="138"/>
      <c r="S626" s="31"/>
    </row>
    <row r="627">
      <c r="B627" s="138"/>
      <c r="S627" s="31"/>
    </row>
    <row r="628">
      <c r="B628" s="138"/>
      <c r="S628" s="31"/>
    </row>
    <row r="629">
      <c r="B629" s="138"/>
      <c r="S629" s="31"/>
    </row>
    <row r="630">
      <c r="B630" s="138"/>
      <c r="S630" s="31"/>
    </row>
    <row r="631">
      <c r="B631" s="138"/>
      <c r="S631" s="31"/>
    </row>
    <row r="632">
      <c r="B632" s="138"/>
      <c r="S632" s="31"/>
    </row>
    <row r="633">
      <c r="B633" s="138"/>
      <c r="S633" s="31"/>
    </row>
    <row r="634">
      <c r="B634" s="138"/>
      <c r="S634" s="31"/>
    </row>
    <row r="635">
      <c r="B635" s="138"/>
      <c r="S635" s="31"/>
    </row>
    <row r="636">
      <c r="B636" s="138"/>
      <c r="S636" s="31"/>
    </row>
    <row r="637">
      <c r="B637" s="138"/>
      <c r="S637" s="31"/>
    </row>
    <row r="638">
      <c r="B638" s="138"/>
      <c r="S638" s="31"/>
    </row>
    <row r="639">
      <c r="B639" s="138"/>
      <c r="S639" s="31"/>
    </row>
    <row r="640">
      <c r="B640" s="138"/>
      <c r="S640" s="31"/>
    </row>
    <row r="641">
      <c r="B641" s="138"/>
      <c r="S641" s="31"/>
    </row>
    <row r="642">
      <c r="B642" s="138"/>
      <c r="S642" s="31"/>
    </row>
    <row r="643">
      <c r="B643" s="138"/>
      <c r="S643" s="31"/>
    </row>
    <row r="644">
      <c r="B644" s="138"/>
      <c r="S644" s="31"/>
    </row>
    <row r="645">
      <c r="B645" s="138"/>
      <c r="S645" s="31"/>
    </row>
    <row r="646">
      <c r="B646" s="138"/>
      <c r="S646" s="31"/>
    </row>
    <row r="647">
      <c r="B647" s="138"/>
      <c r="S647" s="31"/>
    </row>
    <row r="648">
      <c r="B648" s="138"/>
      <c r="S648" s="31"/>
    </row>
    <row r="649">
      <c r="B649" s="138"/>
      <c r="S649" s="31"/>
    </row>
    <row r="650">
      <c r="B650" s="138"/>
      <c r="S650" s="31"/>
    </row>
    <row r="651">
      <c r="B651" s="138"/>
      <c r="S651" s="31"/>
    </row>
    <row r="652">
      <c r="B652" s="138"/>
      <c r="S652" s="31"/>
    </row>
    <row r="653">
      <c r="B653" s="138"/>
      <c r="S653" s="31"/>
    </row>
    <row r="654">
      <c r="B654" s="138"/>
      <c r="S654" s="31"/>
    </row>
    <row r="655">
      <c r="B655" s="138"/>
      <c r="S655" s="31"/>
    </row>
    <row r="656">
      <c r="B656" s="138"/>
      <c r="S656" s="31"/>
    </row>
    <row r="657">
      <c r="B657" s="138"/>
      <c r="S657" s="31"/>
    </row>
    <row r="658">
      <c r="B658" s="138"/>
      <c r="S658" s="31"/>
    </row>
    <row r="659">
      <c r="B659" s="138"/>
      <c r="S659" s="31"/>
    </row>
    <row r="660">
      <c r="B660" s="138"/>
      <c r="S660" s="31"/>
    </row>
    <row r="661">
      <c r="B661" s="138"/>
      <c r="S661" s="31"/>
    </row>
    <row r="662">
      <c r="B662" s="138"/>
      <c r="S662" s="31"/>
    </row>
    <row r="663">
      <c r="B663" s="138"/>
      <c r="S663" s="31"/>
    </row>
    <row r="664">
      <c r="B664" s="138"/>
      <c r="S664" s="31"/>
    </row>
    <row r="665">
      <c r="B665" s="138"/>
      <c r="S665" s="31"/>
    </row>
    <row r="666">
      <c r="B666" s="138"/>
      <c r="S666" s="31"/>
    </row>
    <row r="667">
      <c r="B667" s="138"/>
      <c r="S667" s="31"/>
    </row>
    <row r="668">
      <c r="B668" s="138"/>
      <c r="S668" s="31"/>
    </row>
    <row r="669">
      <c r="B669" s="138"/>
      <c r="S669" s="31"/>
    </row>
    <row r="670">
      <c r="B670" s="138"/>
      <c r="S670" s="31"/>
    </row>
    <row r="671">
      <c r="B671" s="138"/>
      <c r="S671" s="31"/>
    </row>
    <row r="672">
      <c r="B672" s="138"/>
      <c r="S672" s="31"/>
    </row>
    <row r="673">
      <c r="B673" s="138"/>
      <c r="S673" s="31"/>
    </row>
    <row r="674">
      <c r="B674" s="138"/>
      <c r="S674" s="31"/>
    </row>
    <row r="675">
      <c r="B675" s="138"/>
      <c r="S675" s="31"/>
    </row>
    <row r="676">
      <c r="B676" s="138"/>
      <c r="S676" s="31"/>
    </row>
    <row r="677">
      <c r="B677" s="138"/>
      <c r="S677" s="31"/>
    </row>
    <row r="678">
      <c r="B678" s="138"/>
      <c r="S678" s="31"/>
    </row>
    <row r="679">
      <c r="B679" s="138"/>
      <c r="S679" s="31"/>
    </row>
    <row r="680">
      <c r="B680" s="138"/>
      <c r="S680" s="31"/>
    </row>
    <row r="681">
      <c r="B681" s="138"/>
      <c r="S681" s="31"/>
    </row>
    <row r="682">
      <c r="B682" s="138"/>
      <c r="S682" s="31"/>
    </row>
    <row r="683">
      <c r="B683" s="138"/>
      <c r="S683" s="31"/>
    </row>
    <row r="684">
      <c r="B684" s="138"/>
      <c r="S684" s="31"/>
    </row>
    <row r="685">
      <c r="B685" s="138"/>
      <c r="S685" s="31"/>
    </row>
    <row r="686">
      <c r="B686" s="138"/>
      <c r="S686" s="31"/>
    </row>
    <row r="687">
      <c r="B687" s="138"/>
      <c r="S687" s="31"/>
    </row>
    <row r="688">
      <c r="B688" s="138"/>
      <c r="S688" s="31"/>
    </row>
    <row r="689">
      <c r="B689" s="138"/>
      <c r="S689" s="31"/>
    </row>
    <row r="690">
      <c r="B690" s="138"/>
      <c r="S690" s="31"/>
    </row>
    <row r="691">
      <c r="B691" s="138"/>
      <c r="S691" s="31"/>
    </row>
    <row r="692">
      <c r="B692" s="138"/>
      <c r="S692" s="31"/>
    </row>
    <row r="693">
      <c r="B693" s="138"/>
      <c r="S693" s="31"/>
    </row>
    <row r="694">
      <c r="B694" s="138"/>
      <c r="S694" s="31"/>
    </row>
    <row r="695">
      <c r="B695" s="138"/>
      <c r="S695" s="31"/>
    </row>
    <row r="696">
      <c r="B696" s="138"/>
      <c r="S696" s="31"/>
    </row>
    <row r="697">
      <c r="B697" s="138"/>
      <c r="S697" s="31"/>
    </row>
    <row r="698">
      <c r="B698" s="138"/>
      <c r="S698" s="31"/>
    </row>
    <row r="699">
      <c r="B699" s="138"/>
      <c r="S699" s="31"/>
    </row>
    <row r="700">
      <c r="B700" s="138"/>
      <c r="S700" s="31"/>
    </row>
    <row r="701">
      <c r="B701" s="138"/>
      <c r="S701" s="31"/>
    </row>
    <row r="702">
      <c r="B702" s="138"/>
      <c r="S702" s="31"/>
    </row>
    <row r="703">
      <c r="B703" s="138"/>
      <c r="S703" s="31"/>
    </row>
    <row r="704">
      <c r="B704" s="138"/>
      <c r="S704" s="31"/>
    </row>
    <row r="705">
      <c r="B705" s="138"/>
      <c r="S705" s="31"/>
    </row>
    <row r="706">
      <c r="B706" s="138"/>
      <c r="S706" s="31"/>
    </row>
    <row r="707">
      <c r="B707" s="138"/>
      <c r="S707" s="31"/>
    </row>
    <row r="708">
      <c r="B708" s="138"/>
      <c r="S708" s="31"/>
    </row>
    <row r="709">
      <c r="B709" s="138"/>
      <c r="S709" s="31"/>
    </row>
    <row r="710">
      <c r="B710" s="138"/>
      <c r="S710" s="31"/>
    </row>
    <row r="711">
      <c r="B711" s="138"/>
      <c r="S711" s="31"/>
    </row>
    <row r="712">
      <c r="B712" s="138"/>
      <c r="S712" s="31"/>
    </row>
    <row r="713">
      <c r="B713" s="138"/>
      <c r="S713" s="31"/>
    </row>
    <row r="714">
      <c r="B714" s="138"/>
      <c r="S714" s="31"/>
    </row>
    <row r="715">
      <c r="B715" s="138"/>
      <c r="S715" s="31"/>
    </row>
    <row r="716">
      <c r="B716" s="138"/>
      <c r="S716" s="31"/>
    </row>
    <row r="717">
      <c r="B717" s="138"/>
      <c r="S717" s="31"/>
    </row>
    <row r="718">
      <c r="B718" s="138"/>
      <c r="S718" s="31"/>
    </row>
    <row r="719">
      <c r="B719" s="138"/>
      <c r="S719" s="31"/>
    </row>
    <row r="720">
      <c r="B720" s="138"/>
      <c r="S720" s="31"/>
    </row>
    <row r="721">
      <c r="B721" s="138"/>
      <c r="S721" s="31"/>
    </row>
    <row r="722">
      <c r="B722" s="138"/>
      <c r="S722" s="31"/>
    </row>
    <row r="723">
      <c r="B723" s="138"/>
      <c r="S723" s="31"/>
    </row>
    <row r="724">
      <c r="B724" s="138"/>
      <c r="S724" s="31"/>
    </row>
    <row r="725">
      <c r="B725" s="138"/>
      <c r="S725" s="31"/>
    </row>
    <row r="726">
      <c r="B726" s="138"/>
      <c r="S726" s="31"/>
    </row>
    <row r="727">
      <c r="B727" s="138"/>
      <c r="S727" s="31"/>
    </row>
    <row r="728">
      <c r="B728" s="138"/>
      <c r="S728" s="31"/>
    </row>
    <row r="729">
      <c r="B729" s="138"/>
      <c r="S729" s="31"/>
    </row>
    <row r="730">
      <c r="B730" s="138"/>
      <c r="S730" s="31"/>
    </row>
    <row r="731">
      <c r="B731" s="138"/>
      <c r="S731" s="31"/>
    </row>
    <row r="732">
      <c r="B732" s="138"/>
      <c r="S732" s="31"/>
    </row>
    <row r="733">
      <c r="B733" s="138"/>
      <c r="S733" s="31"/>
    </row>
    <row r="734">
      <c r="B734" s="138"/>
      <c r="S734" s="31"/>
    </row>
    <row r="735">
      <c r="B735" s="138"/>
      <c r="S735" s="31"/>
    </row>
    <row r="736">
      <c r="B736" s="138"/>
      <c r="S736" s="31"/>
    </row>
    <row r="737">
      <c r="B737" s="138"/>
      <c r="S737" s="31"/>
    </row>
    <row r="738">
      <c r="B738" s="138"/>
      <c r="S738" s="31"/>
    </row>
    <row r="739">
      <c r="B739" s="138"/>
      <c r="S739" s="31"/>
    </row>
    <row r="740">
      <c r="B740" s="138"/>
      <c r="S740" s="31"/>
    </row>
    <row r="741">
      <c r="B741" s="138"/>
      <c r="S741" s="31"/>
    </row>
    <row r="742">
      <c r="B742" s="138"/>
      <c r="S742" s="31"/>
    </row>
    <row r="743">
      <c r="B743" s="138"/>
      <c r="S743" s="31"/>
    </row>
    <row r="744">
      <c r="B744" s="138"/>
      <c r="S744" s="31"/>
    </row>
    <row r="745">
      <c r="B745" s="138"/>
      <c r="S745" s="31"/>
    </row>
    <row r="746">
      <c r="B746" s="138"/>
      <c r="S746" s="31"/>
    </row>
    <row r="747">
      <c r="B747" s="138"/>
      <c r="S747" s="31"/>
    </row>
    <row r="748">
      <c r="B748" s="138"/>
      <c r="S748" s="31"/>
    </row>
    <row r="749">
      <c r="B749" s="138"/>
      <c r="S749" s="31"/>
    </row>
    <row r="750">
      <c r="B750" s="138"/>
      <c r="S750" s="31"/>
    </row>
    <row r="751">
      <c r="B751" s="138"/>
      <c r="S751" s="31"/>
    </row>
    <row r="752">
      <c r="B752" s="138"/>
      <c r="S752" s="31"/>
    </row>
    <row r="753">
      <c r="B753" s="138"/>
      <c r="S753" s="31"/>
    </row>
    <row r="754">
      <c r="B754" s="138"/>
      <c r="S754" s="31"/>
    </row>
    <row r="755">
      <c r="B755" s="138"/>
      <c r="S755" s="31"/>
    </row>
    <row r="756">
      <c r="B756" s="138"/>
      <c r="S756" s="31"/>
    </row>
    <row r="757">
      <c r="B757" s="138"/>
      <c r="S757" s="31"/>
    </row>
    <row r="758">
      <c r="B758" s="138"/>
      <c r="S758" s="31"/>
    </row>
    <row r="759">
      <c r="B759" s="138"/>
      <c r="S759" s="31"/>
    </row>
    <row r="760">
      <c r="B760" s="138"/>
      <c r="S760" s="31"/>
    </row>
    <row r="761">
      <c r="B761" s="138"/>
      <c r="S761" s="31"/>
    </row>
    <row r="762">
      <c r="B762" s="138"/>
      <c r="S762" s="31"/>
    </row>
    <row r="763">
      <c r="B763" s="138"/>
      <c r="S763" s="31"/>
    </row>
    <row r="764">
      <c r="B764" s="138"/>
      <c r="S764" s="31"/>
    </row>
    <row r="765">
      <c r="B765" s="138"/>
      <c r="S765" s="31"/>
    </row>
    <row r="766">
      <c r="B766" s="138"/>
      <c r="S766" s="31"/>
    </row>
    <row r="767">
      <c r="B767" s="138"/>
      <c r="S767" s="31"/>
    </row>
    <row r="768">
      <c r="B768" s="138"/>
      <c r="S768" s="31"/>
    </row>
    <row r="769">
      <c r="B769" s="138"/>
      <c r="S769" s="31"/>
    </row>
    <row r="770">
      <c r="B770" s="138"/>
      <c r="S770" s="31"/>
    </row>
    <row r="771">
      <c r="B771" s="138"/>
      <c r="S771" s="31"/>
    </row>
    <row r="772">
      <c r="B772" s="138"/>
      <c r="S772" s="31"/>
    </row>
    <row r="773">
      <c r="B773" s="138"/>
      <c r="S773" s="31"/>
    </row>
    <row r="774">
      <c r="B774" s="138"/>
      <c r="S774" s="31"/>
    </row>
    <row r="775">
      <c r="B775" s="138"/>
      <c r="S775" s="31"/>
    </row>
    <row r="776">
      <c r="B776" s="138"/>
      <c r="S776" s="31"/>
    </row>
    <row r="777">
      <c r="B777" s="138"/>
      <c r="S777" s="31"/>
    </row>
    <row r="778">
      <c r="B778" s="138"/>
      <c r="S778" s="31"/>
    </row>
    <row r="779">
      <c r="B779" s="138"/>
      <c r="S779" s="31"/>
    </row>
    <row r="780">
      <c r="B780" s="138"/>
      <c r="S780" s="31"/>
    </row>
    <row r="781">
      <c r="B781" s="138"/>
      <c r="S781" s="31"/>
    </row>
    <row r="782">
      <c r="B782" s="138"/>
      <c r="S782" s="31"/>
    </row>
    <row r="783">
      <c r="B783" s="138"/>
      <c r="S783" s="31"/>
    </row>
    <row r="784">
      <c r="B784" s="138"/>
      <c r="S784" s="31"/>
    </row>
    <row r="785">
      <c r="B785" s="138"/>
      <c r="S785" s="31"/>
    </row>
    <row r="786">
      <c r="B786" s="138"/>
      <c r="S786" s="31"/>
    </row>
    <row r="787">
      <c r="B787" s="138"/>
      <c r="S787" s="31"/>
    </row>
    <row r="788">
      <c r="B788" s="138"/>
      <c r="S788" s="31"/>
    </row>
    <row r="789">
      <c r="B789" s="138"/>
      <c r="S789" s="31"/>
    </row>
    <row r="790">
      <c r="B790" s="138"/>
      <c r="S790" s="31"/>
    </row>
    <row r="791">
      <c r="B791" s="138"/>
      <c r="S791" s="31"/>
    </row>
    <row r="792">
      <c r="B792" s="138"/>
      <c r="S792" s="31"/>
    </row>
    <row r="793">
      <c r="B793" s="138"/>
      <c r="S793" s="31"/>
    </row>
    <row r="794">
      <c r="B794" s="138"/>
      <c r="S794" s="31"/>
    </row>
    <row r="795">
      <c r="B795" s="138"/>
      <c r="S795" s="31"/>
    </row>
    <row r="796">
      <c r="B796" s="138"/>
      <c r="S796" s="31"/>
    </row>
    <row r="797">
      <c r="B797" s="138"/>
      <c r="S797" s="31"/>
    </row>
    <row r="798">
      <c r="B798" s="138"/>
      <c r="S798" s="31"/>
    </row>
    <row r="799">
      <c r="B799" s="138"/>
      <c r="S799" s="31"/>
    </row>
    <row r="800">
      <c r="B800" s="138"/>
      <c r="S800" s="31"/>
    </row>
    <row r="801">
      <c r="B801" s="138"/>
      <c r="S801" s="31"/>
    </row>
    <row r="802">
      <c r="B802" s="138"/>
      <c r="S802" s="31"/>
    </row>
    <row r="803">
      <c r="B803" s="138"/>
      <c r="S803" s="31"/>
    </row>
    <row r="804">
      <c r="B804" s="138"/>
      <c r="S804" s="31"/>
    </row>
    <row r="805">
      <c r="B805" s="138"/>
      <c r="S805" s="31"/>
    </row>
    <row r="806">
      <c r="B806" s="138"/>
      <c r="S806" s="31"/>
    </row>
    <row r="807">
      <c r="B807" s="138"/>
      <c r="S807" s="31"/>
    </row>
    <row r="808">
      <c r="B808" s="138"/>
      <c r="S808" s="31"/>
    </row>
    <row r="809">
      <c r="B809" s="138"/>
      <c r="S809" s="31"/>
    </row>
    <row r="810">
      <c r="B810" s="138"/>
      <c r="S810" s="31"/>
    </row>
    <row r="811">
      <c r="B811" s="138"/>
      <c r="S811" s="31"/>
    </row>
    <row r="812">
      <c r="B812" s="138"/>
      <c r="S812" s="31"/>
    </row>
    <row r="813">
      <c r="B813" s="138"/>
      <c r="S813" s="31"/>
    </row>
    <row r="814">
      <c r="B814" s="138"/>
      <c r="S814" s="31"/>
    </row>
    <row r="815">
      <c r="B815" s="138"/>
      <c r="S815" s="31"/>
    </row>
    <row r="816">
      <c r="B816" s="138"/>
      <c r="S816" s="31"/>
    </row>
    <row r="817">
      <c r="B817" s="138"/>
      <c r="S817" s="31"/>
    </row>
    <row r="818">
      <c r="B818" s="138"/>
      <c r="S818" s="31"/>
    </row>
    <row r="819">
      <c r="B819" s="138"/>
      <c r="S819" s="31"/>
    </row>
    <row r="820">
      <c r="B820" s="138"/>
      <c r="S820" s="31"/>
    </row>
    <row r="821">
      <c r="B821" s="138"/>
      <c r="S821" s="31"/>
    </row>
    <row r="822">
      <c r="B822" s="138"/>
      <c r="S822" s="31"/>
    </row>
    <row r="823">
      <c r="B823" s="138"/>
      <c r="S823" s="31"/>
    </row>
    <row r="824">
      <c r="B824" s="138"/>
      <c r="S824" s="31"/>
    </row>
    <row r="825">
      <c r="B825" s="138"/>
      <c r="S825" s="31"/>
    </row>
    <row r="826">
      <c r="B826" s="138"/>
      <c r="S826" s="31"/>
    </row>
    <row r="827">
      <c r="B827" s="138"/>
      <c r="S827" s="31"/>
    </row>
    <row r="828">
      <c r="B828" s="138"/>
      <c r="S828" s="31"/>
    </row>
    <row r="829">
      <c r="B829" s="138"/>
      <c r="S829" s="31"/>
    </row>
    <row r="830">
      <c r="B830" s="138"/>
      <c r="S830" s="31"/>
    </row>
    <row r="831">
      <c r="B831" s="138"/>
      <c r="S831" s="31"/>
    </row>
    <row r="832">
      <c r="B832" s="138"/>
      <c r="S832" s="31"/>
    </row>
    <row r="833">
      <c r="B833" s="138"/>
      <c r="S833" s="31"/>
    </row>
    <row r="834">
      <c r="B834" s="138"/>
      <c r="S834" s="31"/>
    </row>
    <row r="835">
      <c r="B835" s="138"/>
      <c r="S835" s="31"/>
    </row>
    <row r="836">
      <c r="B836" s="138"/>
      <c r="S836" s="31"/>
    </row>
    <row r="837">
      <c r="B837" s="138"/>
      <c r="S837" s="31"/>
    </row>
    <row r="838">
      <c r="B838" s="138"/>
      <c r="S838" s="31"/>
    </row>
    <row r="839">
      <c r="B839" s="138"/>
      <c r="S839" s="31"/>
    </row>
    <row r="840">
      <c r="B840" s="138"/>
      <c r="S840" s="31"/>
    </row>
    <row r="841">
      <c r="B841" s="138"/>
      <c r="S841" s="31"/>
    </row>
    <row r="842">
      <c r="B842" s="138"/>
      <c r="S842" s="31"/>
    </row>
    <row r="843">
      <c r="B843" s="138"/>
      <c r="S843" s="31"/>
    </row>
    <row r="844">
      <c r="B844" s="138"/>
      <c r="S844" s="31"/>
    </row>
    <row r="845">
      <c r="B845" s="138"/>
      <c r="S845" s="31"/>
    </row>
    <row r="846">
      <c r="B846" s="138"/>
      <c r="S846" s="31"/>
    </row>
    <row r="847">
      <c r="B847" s="138"/>
      <c r="S847" s="31"/>
    </row>
    <row r="848">
      <c r="B848" s="138"/>
      <c r="S848" s="31"/>
    </row>
    <row r="849">
      <c r="B849" s="138"/>
      <c r="S849" s="31"/>
    </row>
    <row r="850">
      <c r="B850" s="138"/>
      <c r="S850" s="31"/>
    </row>
    <row r="851">
      <c r="B851" s="138"/>
      <c r="S851" s="31"/>
    </row>
    <row r="852">
      <c r="B852" s="138"/>
      <c r="S852" s="31"/>
    </row>
    <row r="853">
      <c r="B853" s="138"/>
      <c r="S853" s="31"/>
    </row>
    <row r="854">
      <c r="B854" s="138"/>
      <c r="S854" s="31"/>
    </row>
    <row r="855">
      <c r="B855" s="138"/>
      <c r="S855" s="31"/>
    </row>
    <row r="856">
      <c r="B856" s="138"/>
      <c r="S856" s="31"/>
    </row>
    <row r="857">
      <c r="B857" s="138"/>
      <c r="S857" s="31"/>
    </row>
    <row r="858">
      <c r="B858" s="138"/>
      <c r="S858" s="31"/>
    </row>
    <row r="859">
      <c r="B859" s="138"/>
      <c r="S859" s="31"/>
    </row>
    <row r="860">
      <c r="B860" s="138"/>
      <c r="S860" s="31"/>
    </row>
    <row r="861">
      <c r="B861" s="138"/>
      <c r="S861" s="31"/>
    </row>
    <row r="862">
      <c r="B862" s="138"/>
      <c r="S862" s="31"/>
    </row>
    <row r="863">
      <c r="B863" s="138"/>
      <c r="S863" s="31"/>
    </row>
    <row r="864">
      <c r="B864" s="138"/>
      <c r="S864" s="31"/>
    </row>
    <row r="865">
      <c r="B865" s="138"/>
      <c r="S865" s="31"/>
    </row>
    <row r="866">
      <c r="B866" s="138"/>
      <c r="S866" s="31"/>
    </row>
    <row r="867">
      <c r="B867" s="138"/>
      <c r="S867" s="31"/>
    </row>
    <row r="868">
      <c r="B868" s="138"/>
      <c r="S868" s="31"/>
    </row>
    <row r="869">
      <c r="B869" s="138"/>
      <c r="S869" s="31"/>
    </row>
    <row r="870">
      <c r="B870" s="138"/>
      <c r="S870" s="31"/>
    </row>
    <row r="871">
      <c r="B871" s="138"/>
      <c r="S871" s="31"/>
    </row>
    <row r="872">
      <c r="B872" s="138"/>
      <c r="S872" s="31"/>
    </row>
    <row r="873">
      <c r="B873" s="138"/>
      <c r="S873" s="31"/>
    </row>
    <row r="874">
      <c r="B874" s="138"/>
      <c r="S874" s="31"/>
    </row>
    <row r="875">
      <c r="B875" s="138"/>
      <c r="S875" s="31"/>
    </row>
    <row r="876">
      <c r="B876" s="138"/>
      <c r="S876" s="31"/>
    </row>
    <row r="877">
      <c r="B877" s="138"/>
      <c r="S877" s="31"/>
    </row>
    <row r="878">
      <c r="B878" s="138"/>
      <c r="S878" s="31"/>
    </row>
    <row r="879">
      <c r="B879" s="138"/>
      <c r="S879" s="31"/>
    </row>
    <row r="880">
      <c r="B880" s="138"/>
      <c r="S880" s="31"/>
    </row>
    <row r="881">
      <c r="B881" s="138"/>
      <c r="S881" s="31"/>
    </row>
    <row r="882">
      <c r="B882" s="138"/>
      <c r="S882" s="31"/>
    </row>
    <row r="883">
      <c r="B883" s="138"/>
      <c r="S883" s="31"/>
    </row>
    <row r="884">
      <c r="B884" s="138"/>
      <c r="S884" s="31"/>
    </row>
    <row r="885">
      <c r="B885" s="138"/>
      <c r="S885" s="31"/>
    </row>
    <row r="886">
      <c r="B886" s="138"/>
      <c r="S886" s="31"/>
    </row>
    <row r="887">
      <c r="B887" s="138"/>
      <c r="S887" s="31"/>
    </row>
    <row r="888">
      <c r="B888" s="138"/>
      <c r="S888" s="31"/>
    </row>
    <row r="889">
      <c r="B889" s="138"/>
      <c r="S889" s="31"/>
    </row>
    <row r="890">
      <c r="B890" s="138"/>
      <c r="S890" s="31"/>
    </row>
    <row r="891">
      <c r="B891" s="138"/>
      <c r="S891" s="31"/>
    </row>
    <row r="892">
      <c r="B892" s="138"/>
      <c r="S892" s="31"/>
    </row>
    <row r="893">
      <c r="B893" s="138"/>
      <c r="S893" s="31"/>
    </row>
    <row r="894">
      <c r="B894" s="138"/>
      <c r="S894" s="31"/>
    </row>
    <row r="895">
      <c r="B895" s="138"/>
      <c r="S895" s="31"/>
    </row>
    <row r="896">
      <c r="B896" s="138"/>
      <c r="S896" s="31"/>
    </row>
    <row r="897">
      <c r="B897" s="138"/>
      <c r="S897" s="31"/>
    </row>
    <row r="898">
      <c r="B898" s="138"/>
      <c r="S898" s="31"/>
    </row>
    <row r="899">
      <c r="B899" s="138"/>
      <c r="S899" s="31"/>
    </row>
    <row r="900">
      <c r="B900" s="138"/>
      <c r="S900" s="31"/>
    </row>
    <row r="901">
      <c r="B901" s="138"/>
      <c r="S901" s="31"/>
    </row>
    <row r="902">
      <c r="B902" s="138"/>
      <c r="S902" s="31"/>
    </row>
    <row r="903">
      <c r="B903" s="138"/>
      <c r="S903" s="31"/>
    </row>
    <row r="904">
      <c r="B904" s="138"/>
      <c r="S904" s="31"/>
    </row>
    <row r="905">
      <c r="B905" s="138"/>
      <c r="S905" s="31"/>
    </row>
    <row r="906">
      <c r="B906" s="138"/>
      <c r="S906" s="31"/>
    </row>
    <row r="907">
      <c r="B907" s="138"/>
      <c r="S907" s="31"/>
    </row>
    <row r="908">
      <c r="B908" s="138"/>
      <c r="S908" s="31"/>
    </row>
    <row r="909">
      <c r="B909" s="138"/>
      <c r="S909" s="31"/>
    </row>
    <row r="910">
      <c r="B910" s="138"/>
      <c r="S910" s="31"/>
    </row>
    <row r="911">
      <c r="B911" s="138"/>
      <c r="S911" s="31"/>
    </row>
    <row r="912">
      <c r="B912" s="138"/>
      <c r="S912" s="31"/>
    </row>
    <row r="913">
      <c r="B913" s="138"/>
      <c r="S913" s="31"/>
    </row>
    <row r="914">
      <c r="B914" s="138"/>
      <c r="S914" s="31"/>
    </row>
    <row r="915">
      <c r="B915" s="138"/>
      <c r="S915" s="31"/>
    </row>
    <row r="916">
      <c r="B916" s="138"/>
      <c r="S916" s="31"/>
    </row>
    <row r="917">
      <c r="B917" s="138"/>
      <c r="S917" s="31"/>
    </row>
    <row r="918">
      <c r="B918" s="138"/>
      <c r="S918" s="31"/>
    </row>
    <row r="919">
      <c r="B919" s="138"/>
      <c r="S919" s="31"/>
    </row>
    <row r="920">
      <c r="B920" s="138"/>
      <c r="S920" s="31"/>
    </row>
    <row r="921">
      <c r="B921" s="138"/>
      <c r="S921" s="31"/>
    </row>
    <row r="922">
      <c r="B922" s="138"/>
      <c r="S922" s="31"/>
    </row>
    <row r="923">
      <c r="B923" s="138"/>
      <c r="S923" s="31"/>
    </row>
    <row r="924">
      <c r="B924" s="138"/>
      <c r="S924" s="31"/>
    </row>
    <row r="925">
      <c r="B925" s="138"/>
      <c r="S925" s="31"/>
    </row>
    <row r="926">
      <c r="B926" s="138"/>
      <c r="S926" s="31"/>
    </row>
    <row r="927">
      <c r="B927" s="138"/>
      <c r="S927" s="31"/>
    </row>
    <row r="928">
      <c r="B928" s="138"/>
      <c r="S928" s="31"/>
    </row>
    <row r="929">
      <c r="B929" s="138"/>
      <c r="S929" s="31"/>
    </row>
    <row r="930">
      <c r="B930" s="138"/>
      <c r="S930" s="31"/>
    </row>
    <row r="931">
      <c r="B931" s="138"/>
      <c r="S931" s="31"/>
    </row>
    <row r="932">
      <c r="B932" s="138"/>
      <c r="S932" s="31"/>
    </row>
    <row r="933">
      <c r="B933" s="138"/>
      <c r="S933" s="31"/>
    </row>
    <row r="934">
      <c r="B934" s="138"/>
      <c r="S934" s="31"/>
    </row>
    <row r="935">
      <c r="B935" s="138"/>
      <c r="S935" s="31"/>
    </row>
    <row r="936">
      <c r="B936" s="138"/>
      <c r="S936" s="31"/>
    </row>
    <row r="937">
      <c r="B937" s="138"/>
      <c r="S937" s="31"/>
    </row>
    <row r="938">
      <c r="B938" s="138"/>
      <c r="S938" s="31"/>
    </row>
    <row r="939">
      <c r="B939" s="138"/>
      <c r="S939" s="31"/>
    </row>
    <row r="940">
      <c r="B940" s="138"/>
      <c r="S940" s="31"/>
    </row>
    <row r="941">
      <c r="B941" s="138"/>
      <c r="S941" s="31"/>
    </row>
    <row r="942">
      <c r="B942" s="138"/>
      <c r="S942" s="31"/>
    </row>
    <row r="943">
      <c r="B943" s="138"/>
      <c r="S943" s="31"/>
    </row>
    <row r="944">
      <c r="B944" s="138"/>
      <c r="S944" s="31"/>
    </row>
    <row r="945">
      <c r="B945" s="138"/>
      <c r="S945" s="31"/>
    </row>
    <row r="946">
      <c r="B946" s="138"/>
      <c r="S946" s="31"/>
    </row>
    <row r="947">
      <c r="B947" s="138"/>
      <c r="S947" s="31"/>
    </row>
    <row r="948">
      <c r="B948" s="138"/>
      <c r="S948" s="31"/>
    </row>
    <row r="949">
      <c r="B949" s="138"/>
      <c r="S949" s="31"/>
    </row>
    <row r="950">
      <c r="B950" s="138"/>
      <c r="S950" s="31"/>
    </row>
    <row r="951">
      <c r="B951" s="138"/>
      <c r="S951" s="31"/>
    </row>
  </sheetData>
  <mergeCells count="18">
    <mergeCell ref="I3:J3"/>
    <mergeCell ref="K3:L3"/>
    <mergeCell ref="B75:C75"/>
    <mergeCell ref="D75:E75"/>
    <mergeCell ref="F75:G75"/>
    <mergeCell ref="M3:N3"/>
    <mergeCell ref="O3:P3"/>
    <mergeCell ref="Q3:R3"/>
    <mergeCell ref="S3:T3"/>
    <mergeCell ref="U3:W3"/>
    <mergeCell ref="X3:Y3"/>
    <mergeCell ref="B2:G2"/>
    <mergeCell ref="H2:L2"/>
    <mergeCell ref="M2:R2"/>
    <mergeCell ref="S2:Y2"/>
    <mergeCell ref="B3:C3"/>
    <mergeCell ref="D3:E3"/>
    <mergeCell ref="F3:G3"/>
  </mergeCells>
  <dataValidations>
    <dataValidation type="list" allowBlank="1" showErrorMessage="1" sqref="B24:Y24 B32:Y32">
      <formula1>"0%,100%"</formula1>
    </dataValidation>
  </dataValidation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32.25"/>
    <col customWidth="1" min="2" max="2" width="14.75"/>
    <col customWidth="1" min="5" max="5" width="14.0"/>
    <col hidden="1" min="9" max="9" width="12.63"/>
    <col customWidth="1" min="20" max="20" width="16.63"/>
    <col customWidth="1" min="21" max="21" width="25.13"/>
    <col customWidth="1" min="22" max="22" width="26.25"/>
    <col customWidth="1" min="27" max="27" width="13.5"/>
  </cols>
  <sheetData>
    <row r="1" ht="30.0" customHeight="1">
      <c r="A1" s="1" t="s">
        <v>771</v>
      </c>
      <c r="B1" s="2"/>
      <c r="C1" s="3"/>
      <c r="D1" s="3"/>
      <c r="E1" s="3"/>
      <c r="F1" s="3"/>
      <c r="G1" s="3"/>
      <c r="H1" s="3"/>
      <c r="I1" s="3"/>
      <c r="J1" s="3"/>
      <c r="K1" s="3"/>
      <c r="L1" s="3"/>
      <c r="M1" s="3"/>
      <c r="N1" s="3"/>
      <c r="O1" s="3"/>
      <c r="P1" s="3"/>
      <c r="Q1" s="4"/>
      <c r="R1" s="4"/>
      <c r="S1" s="5"/>
      <c r="T1" s="4"/>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8"/>
      <c r="N2" s="9"/>
      <c r="O2" s="10" t="s">
        <v>4</v>
      </c>
      <c r="P2" s="8"/>
      <c r="Q2" s="8"/>
      <c r="R2" s="8"/>
      <c r="S2" s="9"/>
      <c r="T2" s="11" t="s">
        <v>5</v>
      </c>
      <c r="U2" s="8"/>
      <c r="V2" s="8"/>
      <c r="W2" s="8"/>
      <c r="X2" s="8"/>
      <c r="Y2" s="8"/>
      <c r="Z2" s="9"/>
      <c r="AA2" s="12"/>
      <c r="AB2" s="12"/>
      <c r="AC2" s="12"/>
      <c r="AD2" s="12"/>
      <c r="AE2" s="12"/>
      <c r="AF2" s="12"/>
      <c r="AG2" s="12"/>
      <c r="AH2" s="12"/>
      <c r="AI2" s="12"/>
      <c r="AJ2" s="12"/>
      <c r="AK2" s="12"/>
      <c r="AL2" s="12"/>
      <c r="AM2" s="12"/>
      <c r="AN2" s="12"/>
    </row>
    <row r="3">
      <c r="A3" s="6" t="s">
        <v>6</v>
      </c>
      <c r="B3" s="13" t="s">
        <v>7</v>
      </c>
      <c r="C3" s="14"/>
      <c r="D3" s="15" t="s">
        <v>8</v>
      </c>
      <c r="E3" s="9"/>
      <c r="F3" s="10" t="s">
        <v>9</v>
      </c>
      <c r="G3" s="9"/>
      <c r="H3" s="15" t="s">
        <v>10</v>
      </c>
      <c r="I3" s="9"/>
      <c r="J3" s="10" t="s">
        <v>11</v>
      </c>
      <c r="K3" s="8"/>
      <c r="L3" s="9"/>
      <c r="M3" s="16" t="s">
        <v>12</v>
      </c>
      <c r="N3" s="9"/>
      <c r="O3" s="10" t="s">
        <v>13</v>
      </c>
      <c r="P3" s="9"/>
      <c r="Q3" s="493" t="s">
        <v>14</v>
      </c>
      <c r="R3" s="10" t="s">
        <v>15</v>
      </c>
      <c r="S3" s="9"/>
      <c r="T3" s="17" t="s">
        <v>16</v>
      </c>
      <c r="U3" s="9"/>
      <c r="V3" s="10" t="s">
        <v>17</v>
      </c>
      <c r="W3" s="8"/>
      <c r="X3" s="9"/>
      <c r="Y3" s="16" t="s">
        <v>18</v>
      </c>
      <c r="Z3" s="9"/>
      <c r="AA3" s="12"/>
      <c r="AB3" s="12"/>
      <c r="AC3" s="12"/>
      <c r="AD3" s="12"/>
      <c r="AE3" s="12"/>
      <c r="AF3" s="12"/>
      <c r="AG3" s="12"/>
      <c r="AH3" s="12"/>
      <c r="AI3" s="12"/>
      <c r="AJ3" s="12"/>
      <c r="AK3" s="12"/>
      <c r="AL3" s="12"/>
      <c r="AM3" s="12"/>
      <c r="AN3" s="12"/>
    </row>
    <row r="4">
      <c r="A4" s="6" t="s">
        <v>19</v>
      </c>
      <c r="B4" s="18"/>
      <c r="C4" s="18"/>
      <c r="D4" s="18"/>
      <c r="E4" s="18"/>
      <c r="F4" s="18"/>
      <c r="G4" s="18"/>
      <c r="H4" s="19"/>
      <c r="I4" s="19"/>
      <c r="J4" s="19"/>
      <c r="K4" s="19"/>
      <c r="L4" s="19"/>
      <c r="M4" s="19"/>
      <c r="N4" s="19"/>
      <c r="O4" s="19"/>
      <c r="P4" s="19"/>
      <c r="Q4" s="19"/>
      <c r="R4" s="19"/>
      <c r="S4" s="19"/>
      <c r="T4" s="20"/>
      <c r="U4" s="19"/>
      <c r="V4" s="19"/>
      <c r="W4" s="19"/>
      <c r="X4" s="19"/>
      <c r="Y4" s="19"/>
      <c r="Z4" s="21"/>
      <c r="AA4" s="12"/>
      <c r="AB4" s="12"/>
      <c r="AC4" s="12"/>
      <c r="AD4" s="12"/>
      <c r="AE4" s="12"/>
      <c r="AF4" s="12"/>
      <c r="AG4" s="12"/>
      <c r="AH4" s="12"/>
      <c r="AI4" s="12"/>
      <c r="AJ4" s="12"/>
      <c r="AK4" s="12"/>
      <c r="AL4" s="12"/>
      <c r="AM4" s="12"/>
      <c r="AN4" s="12"/>
    </row>
    <row r="5">
      <c r="A5" s="22" t="s">
        <v>20</v>
      </c>
      <c r="B5" s="23" t="s">
        <v>772</v>
      </c>
      <c r="C5" s="23" t="s">
        <v>773</v>
      </c>
      <c r="D5" s="23" t="s">
        <v>774</v>
      </c>
      <c r="E5" s="23" t="s">
        <v>775</v>
      </c>
      <c r="F5" s="23" t="s">
        <v>776</v>
      </c>
      <c r="G5" s="23" t="s">
        <v>777</v>
      </c>
      <c r="H5" s="23" t="s">
        <v>778</v>
      </c>
      <c r="I5" s="23"/>
      <c r="J5" s="23" t="s">
        <v>779</v>
      </c>
      <c r="K5" s="23" t="s">
        <v>780</v>
      </c>
      <c r="L5" s="23" t="s">
        <v>781</v>
      </c>
      <c r="M5" s="23" t="s">
        <v>782</v>
      </c>
      <c r="N5" s="23" t="s">
        <v>783</v>
      </c>
      <c r="O5" s="23" t="s">
        <v>784</v>
      </c>
      <c r="P5" s="23" t="s">
        <v>785</v>
      </c>
      <c r="Q5" s="494" t="s">
        <v>786</v>
      </c>
      <c r="R5" s="494" t="s">
        <v>787</v>
      </c>
      <c r="S5" s="494" t="s">
        <v>788</v>
      </c>
      <c r="T5" s="494" t="s">
        <v>789</v>
      </c>
      <c r="U5" s="494" t="s">
        <v>790</v>
      </c>
      <c r="V5" s="494" t="s">
        <v>791</v>
      </c>
      <c r="W5" s="494" t="s">
        <v>792</v>
      </c>
      <c r="X5" s="24"/>
      <c r="Y5" s="25"/>
      <c r="Z5" s="25"/>
      <c r="AA5" s="27"/>
      <c r="AB5" s="28"/>
      <c r="AC5" s="28"/>
      <c r="AD5" s="28"/>
      <c r="AE5" s="28"/>
      <c r="AF5" s="28"/>
      <c r="AG5" s="28"/>
      <c r="AH5" s="28"/>
      <c r="AI5" s="28"/>
      <c r="AJ5" s="28"/>
      <c r="AK5" s="28"/>
      <c r="AL5" s="28"/>
      <c r="AM5" s="28"/>
      <c r="AN5" s="28"/>
    </row>
    <row r="6">
      <c r="A6" s="29"/>
      <c r="B6" s="30"/>
      <c r="T6" s="31"/>
    </row>
    <row r="7">
      <c r="A7" s="32" t="s">
        <v>21</v>
      </c>
      <c r="B7" s="33">
        <v>127.0</v>
      </c>
      <c r="C7" s="34">
        <v>141.0</v>
      </c>
      <c r="D7" s="34">
        <v>134.0</v>
      </c>
      <c r="E7" s="34">
        <v>130.0</v>
      </c>
      <c r="F7" s="34">
        <v>134.0</v>
      </c>
      <c r="G7" s="34">
        <v>150.0</v>
      </c>
      <c r="H7" s="34">
        <v>169.0</v>
      </c>
      <c r="I7" s="34"/>
      <c r="J7" s="199">
        <v>151.0</v>
      </c>
      <c r="K7" s="34">
        <v>169.0</v>
      </c>
      <c r="L7" s="34">
        <v>172.0</v>
      </c>
      <c r="M7" s="34">
        <v>72.0</v>
      </c>
      <c r="N7" s="34">
        <v>154.0</v>
      </c>
      <c r="O7" s="34">
        <v>133.0</v>
      </c>
      <c r="P7" s="34">
        <v>161.0</v>
      </c>
      <c r="Q7" s="495">
        <v>268.0</v>
      </c>
      <c r="R7" s="495">
        <v>180.0</v>
      </c>
      <c r="S7" s="35">
        <f>S8+S9</f>
        <v>172</v>
      </c>
      <c r="T7" s="36">
        <v>177.0</v>
      </c>
      <c r="U7" s="34"/>
      <c r="V7" s="34"/>
      <c r="W7" s="34"/>
      <c r="X7" s="34"/>
      <c r="Y7" s="34"/>
      <c r="Z7" s="34"/>
    </row>
    <row r="8">
      <c r="A8" s="37" t="s">
        <v>22</v>
      </c>
      <c r="B8" s="38">
        <v>120.0</v>
      </c>
      <c r="C8" s="39">
        <v>134.0</v>
      </c>
      <c r="D8" s="39">
        <v>128.0</v>
      </c>
      <c r="E8" s="39">
        <v>127.0</v>
      </c>
      <c r="F8" s="39">
        <v>126.0</v>
      </c>
      <c r="G8" s="39">
        <v>138.0</v>
      </c>
      <c r="H8" s="39">
        <v>159.0</v>
      </c>
      <c r="I8" s="39"/>
      <c r="J8" s="39">
        <v>141.0</v>
      </c>
      <c r="K8" s="39">
        <v>149.0</v>
      </c>
      <c r="L8" s="39">
        <v>148.0</v>
      </c>
      <c r="M8" s="39">
        <v>69.0</v>
      </c>
      <c r="N8" s="39">
        <v>134.0</v>
      </c>
      <c r="O8" s="39">
        <v>130.0</v>
      </c>
      <c r="P8" s="39">
        <v>152.0</v>
      </c>
      <c r="Q8" s="496">
        <v>246.0</v>
      </c>
      <c r="R8" s="496">
        <v>155.0</v>
      </c>
      <c r="S8" s="40">
        <v>158.0</v>
      </c>
      <c r="T8" s="41">
        <v>167.0</v>
      </c>
      <c r="U8" s="39">
        <v>166.0</v>
      </c>
      <c r="V8" s="39"/>
      <c r="W8" s="39"/>
      <c r="X8" s="39"/>
      <c r="Y8" s="39"/>
      <c r="Z8" s="39"/>
    </row>
    <row r="9">
      <c r="A9" s="37" t="s">
        <v>23</v>
      </c>
      <c r="B9" s="38">
        <f t="shared" ref="B9:R9" si="1">B7-B8</f>
        <v>7</v>
      </c>
      <c r="C9" s="38">
        <f t="shared" si="1"/>
        <v>7</v>
      </c>
      <c r="D9" s="38">
        <f t="shared" si="1"/>
        <v>6</v>
      </c>
      <c r="E9" s="38">
        <f t="shared" si="1"/>
        <v>3</v>
      </c>
      <c r="F9" s="38">
        <f t="shared" si="1"/>
        <v>8</v>
      </c>
      <c r="G9" s="38">
        <f t="shared" si="1"/>
        <v>12</v>
      </c>
      <c r="H9" s="38">
        <f t="shared" si="1"/>
        <v>10</v>
      </c>
      <c r="I9" s="38">
        <f t="shared" si="1"/>
        <v>0</v>
      </c>
      <c r="J9" s="38">
        <f t="shared" si="1"/>
        <v>10</v>
      </c>
      <c r="K9" s="38">
        <f t="shared" si="1"/>
        <v>20</v>
      </c>
      <c r="L9" s="38">
        <f t="shared" si="1"/>
        <v>24</v>
      </c>
      <c r="M9" s="38">
        <f t="shared" si="1"/>
        <v>3</v>
      </c>
      <c r="N9" s="38">
        <f t="shared" si="1"/>
        <v>20</v>
      </c>
      <c r="O9" s="38">
        <f t="shared" si="1"/>
        <v>3</v>
      </c>
      <c r="P9" s="38">
        <f t="shared" si="1"/>
        <v>9</v>
      </c>
      <c r="Q9" s="38">
        <f t="shared" si="1"/>
        <v>22</v>
      </c>
      <c r="R9" s="38">
        <f t="shared" si="1"/>
        <v>25</v>
      </c>
      <c r="S9" s="38">
        <v>14.0</v>
      </c>
      <c r="T9" s="38">
        <v>10.0</v>
      </c>
      <c r="U9" s="38">
        <f t="shared" ref="U9:Z9" si="2">U7-U8</f>
        <v>-166</v>
      </c>
      <c r="V9" s="38">
        <f t="shared" si="2"/>
        <v>0</v>
      </c>
      <c r="W9" s="38">
        <f t="shared" si="2"/>
        <v>0</v>
      </c>
      <c r="X9" s="38">
        <f t="shared" si="2"/>
        <v>0</v>
      </c>
      <c r="Y9" s="38">
        <f t="shared" si="2"/>
        <v>0</v>
      </c>
      <c r="Z9" s="38">
        <f t="shared" si="2"/>
        <v>0</v>
      </c>
    </row>
    <row r="10">
      <c r="A10" s="42" t="s">
        <v>24</v>
      </c>
      <c r="B10" s="43">
        <f t="shared" ref="B10:I10" si="3">IFERROR(B9/B7, 0)</f>
        <v>0.05511811024</v>
      </c>
      <c r="C10" s="43">
        <f t="shared" si="3"/>
        <v>0.04964539007</v>
      </c>
      <c r="D10" s="43">
        <f t="shared" si="3"/>
        <v>0.0447761194</v>
      </c>
      <c r="E10" s="43">
        <f t="shared" si="3"/>
        <v>0.02307692308</v>
      </c>
      <c r="F10" s="43">
        <f t="shared" si="3"/>
        <v>0.05970149254</v>
      </c>
      <c r="G10" s="43">
        <f t="shared" si="3"/>
        <v>0.08</v>
      </c>
      <c r="H10" s="43">
        <f t="shared" si="3"/>
        <v>0.05917159763</v>
      </c>
      <c r="I10" s="43">
        <f t="shared" si="3"/>
        <v>0</v>
      </c>
      <c r="J10" s="43">
        <f>IFERROR(J9/#REF!, 0)</f>
        <v>0</v>
      </c>
      <c r="K10" s="43">
        <f t="shared" ref="K10:T10" si="4">IFERROR(K9/K7, 0)</f>
        <v>0.1183431953</v>
      </c>
      <c r="L10" s="43">
        <f t="shared" si="4"/>
        <v>0.1395348837</v>
      </c>
      <c r="M10" s="43">
        <f t="shared" si="4"/>
        <v>0.04166666667</v>
      </c>
      <c r="N10" s="43">
        <f t="shared" si="4"/>
        <v>0.1298701299</v>
      </c>
      <c r="O10" s="43">
        <f t="shared" si="4"/>
        <v>0.02255639098</v>
      </c>
      <c r="P10" s="43">
        <f t="shared" si="4"/>
        <v>0.05590062112</v>
      </c>
      <c r="Q10" s="43">
        <f t="shared" si="4"/>
        <v>0.08208955224</v>
      </c>
      <c r="R10" s="43">
        <f t="shared" si="4"/>
        <v>0.1388888889</v>
      </c>
      <c r="S10" s="43">
        <f t="shared" si="4"/>
        <v>0.08139534884</v>
      </c>
      <c r="T10" s="43">
        <f t="shared" si="4"/>
        <v>0.05649717514</v>
      </c>
      <c r="U10" s="45"/>
      <c r="V10" s="45"/>
      <c r="W10" s="45"/>
      <c r="X10" s="45"/>
      <c r="Y10" s="45"/>
      <c r="Z10" s="45"/>
    </row>
    <row r="11">
      <c r="A11" s="40"/>
      <c r="B11" s="46"/>
      <c r="C11" s="40"/>
      <c r="D11" s="40"/>
      <c r="E11" s="40"/>
      <c r="F11" s="40"/>
      <c r="G11" s="40"/>
      <c r="H11" s="40"/>
      <c r="I11" s="40"/>
      <c r="J11" s="40"/>
      <c r="K11" s="40"/>
      <c r="L11" s="40"/>
      <c r="M11" s="40"/>
      <c r="N11" s="40"/>
      <c r="O11" s="40"/>
      <c r="P11" s="40"/>
      <c r="Q11" s="40"/>
      <c r="R11" s="40"/>
      <c r="S11" s="40"/>
      <c r="T11" s="47"/>
      <c r="U11" s="40"/>
      <c r="V11" s="40"/>
      <c r="W11" s="40"/>
      <c r="X11" s="40"/>
      <c r="Y11" s="40"/>
      <c r="Z11" s="40"/>
    </row>
    <row r="12">
      <c r="A12" s="48" t="s">
        <v>25</v>
      </c>
      <c r="B12" s="49">
        <v>8.0</v>
      </c>
      <c r="C12" s="50">
        <v>11.0</v>
      </c>
      <c r="D12" s="50">
        <v>12.0</v>
      </c>
      <c r="E12" s="50">
        <v>0.0</v>
      </c>
      <c r="F12" s="50">
        <v>3.0</v>
      </c>
      <c r="G12" s="50">
        <v>8.0</v>
      </c>
      <c r="H12" s="50">
        <v>11.0</v>
      </c>
      <c r="I12" s="50"/>
      <c r="J12" s="50">
        <v>16.0</v>
      </c>
      <c r="K12" s="50">
        <v>4.0</v>
      </c>
      <c r="L12" s="50">
        <v>12.0</v>
      </c>
      <c r="M12" s="50">
        <v>7.0</v>
      </c>
      <c r="N12" s="50">
        <v>0.0</v>
      </c>
      <c r="O12" s="50">
        <v>11.0</v>
      </c>
      <c r="P12" s="50">
        <v>2.0</v>
      </c>
      <c r="Q12" s="495">
        <v>6.0</v>
      </c>
      <c r="R12" s="495">
        <v>28.0</v>
      </c>
      <c r="S12" s="51">
        <v>6.0</v>
      </c>
      <c r="T12" s="52">
        <v>12.0</v>
      </c>
      <c r="U12" s="50"/>
      <c r="V12" s="50"/>
      <c r="W12" s="50"/>
      <c r="X12" s="50"/>
      <c r="Y12" s="50"/>
      <c r="Z12" s="50"/>
    </row>
    <row r="13">
      <c r="A13" s="53" t="s">
        <v>26</v>
      </c>
      <c r="B13" s="54">
        <v>6.0</v>
      </c>
      <c r="C13" s="55">
        <v>11.0</v>
      </c>
      <c r="D13" s="55">
        <v>8.0</v>
      </c>
      <c r="E13" s="55">
        <v>0.0</v>
      </c>
      <c r="F13" s="55">
        <v>0.0</v>
      </c>
      <c r="G13" s="55">
        <v>4.0</v>
      </c>
      <c r="H13" s="55">
        <v>6.0</v>
      </c>
      <c r="I13" s="55"/>
      <c r="J13" s="55">
        <v>14.0</v>
      </c>
      <c r="K13" s="55">
        <v>3.0</v>
      </c>
      <c r="L13" s="55">
        <v>5.0</v>
      </c>
      <c r="M13" s="55">
        <v>4.0</v>
      </c>
      <c r="N13" s="55">
        <v>0.0</v>
      </c>
      <c r="O13" s="55">
        <v>11.0</v>
      </c>
      <c r="P13" s="55">
        <v>1.0</v>
      </c>
      <c r="Q13" s="496">
        <v>2.0</v>
      </c>
      <c r="R13" s="55">
        <v>20.0</v>
      </c>
      <c r="S13" s="56">
        <v>5.0</v>
      </c>
      <c r="T13" s="57">
        <v>8.0</v>
      </c>
      <c r="U13" s="55">
        <v>6.0</v>
      </c>
      <c r="V13" s="55"/>
      <c r="W13" s="55"/>
      <c r="X13" s="55"/>
      <c r="Y13" s="55"/>
      <c r="Z13" s="55"/>
    </row>
    <row r="14">
      <c r="A14" s="58" t="s">
        <v>27</v>
      </c>
      <c r="B14" s="59">
        <f t="shared" ref="B14:E14" si="5">B12-B13</f>
        <v>2</v>
      </c>
      <c r="C14" s="59">
        <f t="shared" si="5"/>
        <v>0</v>
      </c>
      <c r="D14" s="59">
        <f t="shared" si="5"/>
        <v>4</v>
      </c>
      <c r="E14" s="59">
        <f t="shared" si="5"/>
        <v>0</v>
      </c>
      <c r="F14" s="59">
        <v>3.0</v>
      </c>
      <c r="G14" s="59">
        <v>4.0</v>
      </c>
      <c r="H14" s="59">
        <f t="shared" ref="H14:K14" si="6">H12-H13</f>
        <v>5</v>
      </c>
      <c r="I14" s="59">
        <f t="shared" si="6"/>
        <v>0</v>
      </c>
      <c r="J14" s="59">
        <f t="shared" si="6"/>
        <v>2</v>
      </c>
      <c r="K14" s="59">
        <f t="shared" si="6"/>
        <v>1</v>
      </c>
      <c r="L14" s="59">
        <v>7.0</v>
      </c>
      <c r="M14" s="59">
        <v>3.0</v>
      </c>
      <c r="N14" s="59">
        <f t="shared" ref="N14:O14" si="7">N12-N13</f>
        <v>0</v>
      </c>
      <c r="O14" s="59">
        <f t="shared" si="7"/>
        <v>0</v>
      </c>
      <c r="P14" s="59">
        <v>3.0</v>
      </c>
      <c r="Q14" s="497">
        <v>11.0</v>
      </c>
      <c r="R14" s="59">
        <f t="shared" ref="R14:Z14" si="8">R12-R13</f>
        <v>8</v>
      </c>
      <c r="S14" s="59">
        <f t="shared" si="8"/>
        <v>1</v>
      </c>
      <c r="T14" s="59">
        <f t="shared" si="8"/>
        <v>4</v>
      </c>
      <c r="U14" s="59">
        <f t="shared" si="8"/>
        <v>-6</v>
      </c>
      <c r="V14" s="59">
        <f t="shared" si="8"/>
        <v>0</v>
      </c>
      <c r="W14" s="59">
        <f t="shared" si="8"/>
        <v>0</v>
      </c>
      <c r="X14" s="59">
        <f t="shared" si="8"/>
        <v>0</v>
      </c>
      <c r="Y14" s="59">
        <f t="shared" si="8"/>
        <v>0</v>
      </c>
      <c r="Z14" s="59">
        <f t="shared" si="8"/>
        <v>0</v>
      </c>
    </row>
    <row r="15">
      <c r="A15" s="56"/>
      <c r="B15" s="63"/>
      <c r="C15" s="56"/>
      <c r="D15" s="56"/>
      <c r="E15" s="56"/>
      <c r="F15" s="56"/>
      <c r="G15" s="56"/>
      <c r="H15" s="56"/>
      <c r="I15" s="56"/>
      <c r="J15" s="56"/>
      <c r="K15" s="56"/>
      <c r="L15" s="56"/>
      <c r="M15" s="56"/>
      <c r="N15" s="56"/>
      <c r="O15" s="56"/>
      <c r="P15" s="56"/>
      <c r="Q15" s="56"/>
      <c r="R15" s="56"/>
      <c r="S15" s="56"/>
      <c r="T15" s="64"/>
      <c r="U15" s="56"/>
      <c r="V15" s="56"/>
      <c r="W15" s="56"/>
      <c r="X15" s="56"/>
      <c r="Y15" s="56"/>
      <c r="Z15" s="56"/>
    </row>
    <row r="16">
      <c r="A16" s="65" t="s">
        <v>28</v>
      </c>
      <c r="B16" s="66"/>
      <c r="C16" s="65"/>
      <c r="D16" s="65"/>
      <c r="E16" s="65"/>
      <c r="F16" s="65"/>
      <c r="G16" s="65"/>
      <c r="H16" s="65"/>
      <c r="I16" s="65"/>
      <c r="J16" s="65"/>
      <c r="K16" s="65"/>
      <c r="L16" s="65"/>
      <c r="M16" s="65"/>
      <c r="N16" s="65"/>
      <c r="O16" s="65"/>
      <c r="P16" s="65"/>
      <c r="Q16" s="65"/>
      <c r="R16" s="65"/>
      <c r="S16" s="67"/>
      <c r="T16" s="68"/>
      <c r="U16" s="65"/>
      <c r="V16" s="65"/>
      <c r="W16" s="65"/>
      <c r="X16" s="65"/>
      <c r="Y16" s="65"/>
      <c r="Z16" s="65"/>
    </row>
    <row r="17">
      <c r="A17" s="65" t="s">
        <v>29</v>
      </c>
      <c r="B17" s="66"/>
      <c r="C17" s="65"/>
      <c r="D17" s="65"/>
      <c r="E17" s="65"/>
      <c r="F17" s="65"/>
      <c r="G17" s="65"/>
      <c r="H17" s="65"/>
      <c r="I17" s="65"/>
      <c r="J17" s="65"/>
      <c r="K17" s="65"/>
      <c r="L17" s="65"/>
      <c r="M17" s="65"/>
      <c r="N17" s="65"/>
      <c r="O17" s="65"/>
      <c r="P17" s="65"/>
      <c r="Q17" s="65"/>
      <c r="R17" s="65"/>
      <c r="S17" s="67"/>
      <c r="T17" s="68"/>
      <c r="U17" s="65"/>
      <c r="V17" s="65"/>
      <c r="W17" s="65"/>
      <c r="X17" s="65"/>
      <c r="Y17" s="65"/>
      <c r="Z17" s="65"/>
    </row>
    <row r="18">
      <c r="A18" s="69" t="s">
        <v>30</v>
      </c>
      <c r="B18" s="70">
        <v>66.0</v>
      </c>
      <c r="C18" s="69">
        <v>83.0</v>
      </c>
      <c r="D18" s="69">
        <v>78.0</v>
      </c>
      <c r="E18" s="69">
        <v>53.0</v>
      </c>
      <c r="F18" s="69">
        <v>70.0</v>
      </c>
      <c r="G18" s="69">
        <v>86.0</v>
      </c>
      <c r="H18" s="69">
        <v>97.0</v>
      </c>
      <c r="I18" s="69"/>
      <c r="J18" s="69">
        <v>85.0</v>
      </c>
      <c r="K18" s="69">
        <v>67.0</v>
      </c>
      <c r="L18" s="69">
        <v>85.0</v>
      </c>
      <c r="M18" s="69">
        <v>22.0</v>
      </c>
      <c r="N18" s="69">
        <v>56.0</v>
      </c>
      <c r="O18" s="69">
        <v>68.0</v>
      </c>
      <c r="P18" s="69">
        <v>50.0</v>
      </c>
      <c r="Q18" s="498">
        <v>125.0</v>
      </c>
      <c r="R18" s="498">
        <v>71.0</v>
      </c>
      <c r="S18" s="69">
        <v>99.0</v>
      </c>
      <c r="T18" s="71">
        <v>73.0</v>
      </c>
      <c r="U18" s="69"/>
      <c r="V18" s="69"/>
      <c r="W18" s="69"/>
      <c r="X18" s="69"/>
      <c r="Y18" s="69"/>
      <c r="Z18" s="72"/>
      <c r="AA18" s="73"/>
      <c r="AB18" s="73"/>
      <c r="AC18" s="73"/>
      <c r="AD18" s="73"/>
      <c r="AE18" s="73"/>
      <c r="AF18" s="73"/>
      <c r="AG18" s="73"/>
      <c r="AH18" s="73"/>
      <c r="AI18" s="73"/>
      <c r="AJ18" s="73"/>
      <c r="AK18" s="73"/>
      <c r="AL18" s="73"/>
      <c r="AM18" s="73"/>
      <c r="AN18" s="73"/>
    </row>
    <row r="19" ht="16.5" customHeight="1">
      <c r="A19" s="74" t="s">
        <v>31</v>
      </c>
      <c r="B19" s="75">
        <v>116.0</v>
      </c>
      <c r="C19" s="74">
        <v>108.0</v>
      </c>
      <c r="D19" s="74">
        <v>121.0</v>
      </c>
      <c r="E19" s="74">
        <v>115.0</v>
      </c>
      <c r="F19" s="74">
        <v>114.0</v>
      </c>
      <c r="G19" s="74">
        <v>142.0</v>
      </c>
      <c r="H19" s="74">
        <v>151.0</v>
      </c>
      <c r="I19" s="74"/>
      <c r="J19" s="74">
        <v>134.0</v>
      </c>
      <c r="K19" s="74">
        <v>119.0</v>
      </c>
      <c r="L19" s="74">
        <v>118.0</v>
      </c>
      <c r="M19" s="74">
        <v>43.0</v>
      </c>
      <c r="N19" s="74">
        <v>109.0</v>
      </c>
      <c r="O19" s="74">
        <v>100.0</v>
      </c>
      <c r="P19" s="74">
        <v>81.0</v>
      </c>
      <c r="Q19" s="499">
        <v>195.0</v>
      </c>
      <c r="R19" s="499">
        <v>117.0</v>
      </c>
      <c r="S19" s="500">
        <v>154.0</v>
      </c>
      <c r="T19" s="76">
        <v>111.0</v>
      </c>
      <c r="U19" s="74"/>
      <c r="V19" s="74"/>
      <c r="W19" s="74"/>
      <c r="X19" s="74"/>
      <c r="Y19" s="74"/>
      <c r="Z19" s="77"/>
      <c r="AA19" s="78"/>
      <c r="AB19" s="78"/>
      <c r="AC19" s="78"/>
      <c r="AD19" s="78"/>
      <c r="AE19" s="78"/>
      <c r="AF19" s="78"/>
      <c r="AG19" s="78"/>
      <c r="AH19" s="78"/>
      <c r="AI19" s="78"/>
      <c r="AJ19" s="78"/>
      <c r="AK19" s="78"/>
      <c r="AL19" s="78"/>
      <c r="AM19" s="78"/>
      <c r="AN19" s="78"/>
    </row>
    <row r="20">
      <c r="A20" s="69" t="s">
        <v>32</v>
      </c>
      <c r="B20" s="70">
        <v>54.0</v>
      </c>
      <c r="C20" s="69">
        <v>54.0</v>
      </c>
      <c r="D20" s="69">
        <v>75.0</v>
      </c>
      <c r="E20" s="69">
        <v>42.0</v>
      </c>
      <c r="F20" s="69">
        <v>70.0</v>
      </c>
      <c r="G20" s="69">
        <v>58.0</v>
      </c>
      <c r="H20" s="69">
        <v>77.0</v>
      </c>
      <c r="I20" s="69"/>
      <c r="J20" s="69">
        <v>48.0</v>
      </c>
      <c r="K20" s="69">
        <v>57.0</v>
      </c>
      <c r="L20" s="69">
        <v>62.0</v>
      </c>
      <c r="M20" s="69">
        <v>22.0</v>
      </c>
      <c r="N20" s="69">
        <v>48.0</v>
      </c>
      <c r="O20" s="69">
        <v>42.0</v>
      </c>
      <c r="P20" s="69">
        <v>42.0</v>
      </c>
      <c r="Q20" s="498">
        <v>112.0</v>
      </c>
      <c r="R20" s="498">
        <v>59.0</v>
      </c>
      <c r="S20" s="69">
        <v>75.0</v>
      </c>
      <c r="T20" s="71">
        <v>50.0</v>
      </c>
      <c r="U20" s="69"/>
      <c r="V20" s="69"/>
      <c r="W20" s="69"/>
      <c r="X20" s="69"/>
      <c r="Y20" s="69"/>
      <c r="Z20" s="72"/>
      <c r="AA20" s="73"/>
      <c r="AB20" s="73"/>
      <c r="AC20" s="73"/>
      <c r="AD20" s="73"/>
      <c r="AE20" s="73"/>
      <c r="AF20" s="73"/>
      <c r="AG20" s="73"/>
      <c r="AH20" s="73"/>
      <c r="AI20" s="73"/>
      <c r="AJ20" s="73"/>
      <c r="AK20" s="73"/>
      <c r="AL20" s="73"/>
      <c r="AM20" s="73"/>
      <c r="AN20" s="73"/>
    </row>
    <row r="21">
      <c r="A21" s="79" t="s">
        <v>33</v>
      </c>
      <c r="B21" s="80">
        <f t="shared" ref="B21:M21" si="9">B7-B19</f>
        <v>11</v>
      </c>
      <c r="C21" s="80">
        <f t="shared" si="9"/>
        <v>33</v>
      </c>
      <c r="D21" s="80">
        <f t="shared" si="9"/>
        <v>13</v>
      </c>
      <c r="E21" s="80">
        <f t="shared" si="9"/>
        <v>15</v>
      </c>
      <c r="F21" s="80">
        <f t="shared" si="9"/>
        <v>20</v>
      </c>
      <c r="G21" s="80">
        <f t="shared" si="9"/>
        <v>8</v>
      </c>
      <c r="H21" s="80">
        <f t="shared" si="9"/>
        <v>18</v>
      </c>
      <c r="I21" s="80">
        <f t="shared" si="9"/>
        <v>0</v>
      </c>
      <c r="J21" s="80">
        <f t="shared" si="9"/>
        <v>17</v>
      </c>
      <c r="K21" s="80">
        <f t="shared" si="9"/>
        <v>50</v>
      </c>
      <c r="L21" s="80">
        <f t="shared" si="9"/>
        <v>54</v>
      </c>
      <c r="M21" s="80">
        <f t="shared" si="9"/>
        <v>29</v>
      </c>
      <c r="N21" s="80">
        <v>45.0</v>
      </c>
      <c r="O21" s="80">
        <v>33.0</v>
      </c>
      <c r="P21" s="80">
        <f>P7-P19</f>
        <v>80</v>
      </c>
      <c r="Q21" s="501">
        <v>76.0</v>
      </c>
      <c r="R21" s="501">
        <v>63.0</v>
      </c>
      <c r="S21" s="80">
        <v>18.0</v>
      </c>
      <c r="T21" s="79">
        <v>66.0</v>
      </c>
      <c r="U21" s="79"/>
      <c r="V21" s="79"/>
      <c r="W21" s="79"/>
      <c r="X21" s="79"/>
      <c r="Y21" s="79"/>
      <c r="Z21" s="79"/>
    </row>
    <row r="22">
      <c r="A22" s="82" t="s">
        <v>34</v>
      </c>
      <c r="B22" s="83">
        <v>67.0</v>
      </c>
      <c r="C22" s="83">
        <v>79.0</v>
      </c>
      <c r="D22" s="85">
        <v>81.0</v>
      </c>
      <c r="E22" s="85">
        <v>60.0</v>
      </c>
      <c r="F22" s="85">
        <v>77.0</v>
      </c>
      <c r="G22" s="85">
        <v>74.0</v>
      </c>
      <c r="H22" s="85">
        <v>98.0</v>
      </c>
      <c r="J22" s="85">
        <v>86.0</v>
      </c>
      <c r="K22" s="85">
        <v>85.0</v>
      </c>
      <c r="L22" s="85">
        <v>101.0</v>
      </c>
      <c r="M22" s="85">
        <v>40.0</v>
      </c>
      <c r="N22" s="85">
        <v>72.0</v>
      </c>
      <c r="O22" s="85">
        <v>81.0</v>
      </c>
      <c r="P22" s="85">
        <v>92.0</v>
      </c>
      <c r="Q22" s="502">
        <v>155.0</v>
      </c>
      <c r="R22" s="85">
        <v>90.0</v>
      </c>
      <c r="S22" s="85">
        <v>99.0</v>
      </c>
      <c r="T22" s="86">
        <v>100.0</v>
      </c>
      <c r="U22" s="85">
        <v>75.0</v>
      </c>
      <c r="V22" s="85"/>
      <c r="W22" s="85"/>
      <c r="X22" s="85"/>
      <c r="Y22" s="85"/>
      <c r="Z22" s="87"/>
      <c r="AA22" s="87"/>
      <c r="AB22" s="88"/>
      <c r="AC22" s="88"/>
      <c r="AD22" s="88"/>
      <c r="AE22" s="88"/>
      <c r="AF22" s="88"/>
      <c r="AG22" s="88"/>
      <c r="AH22" s="88"/>
      <c r="AI22" s="88"/>
      <c r="AJ22" s="88"/>
      <c r="AK22" s="88"/>
      <c r="AL22" s="89"/>
      <c r="AM22" s="88"/>
      <c r="AN22" s="88"/>
    </row>
    <row r="23" ht="181.5" customHeight="1">
      <c r="A23" s="90" t="s">
        <v>35</v>
      </c>
      <c r="B23" s="397" t="s">
        <v>793</v>
      </c>
      <c r="C23" s="396" t="s">
        <v>794</v>
      </c>
      <c r="D23" s="397" t="s">
        <v>795</v>
      </c>
      <c r="E23" s="397" t="s">
        <v>796</v>
      </c>
      <c r="F23" s="397" t="s">
        <v>797</v>
      </c>
      <c r="G23" s="397" t="s">
        <v>798</v>
      </c>
      <c r="H23" s="397" t="s">
        <v>799</v>
      </c>
      <c r="I23" s="397"/>
      <c r="J23" s="397" t="s">
        <v>800</v>
      </c>
      <c r="K23" s="397" t="s">
        <v>801</v>
      </c>
      <c r="L23" s="397" t="s">
        <v>802</v>
      </c>
      <c r="M23" s="396" t="s">
        <v>803</v>
      </c>
      <c r="N23" s="397" t="s">
        <v>804</v>
      </c>
      <c r="O23" s="397" t="s">
        <v>805</v>
      </c>
      <c r="P23" s="397" t="s">
        <v>806</v>
      </c>
      <c r="Q23" s="503" t="s">
        <v>806</v>
      </c>
      <c r="R23" s="503" t="s">
        <v>807</v>
      </c>
      <c r="S23" s="397" t="s">
        <v>808</v>
      </c>
      <c r="T23" s="504" t="s">
        <v>809</v>
      </c>
      <c r="U23" s="91" t="s">
        <v>810</v>
      </c>
      <c r="V23" s="91"/>
      <c r="W23" s="91"/>
      <c r="X23" s="91"/>
      <c r="Y23" s="91"/>
      <c r="Z23" s="91"/>
      <c r="AA23" s="94"/>
      <c r="AB23" s="95"/>
      <c r="AC23" s="95"/>
      <c r="AD23" s="95"/>
      <c r="AE23" s="95"/>
      <c r="AF23" s="95"/>
      <c r="AG23" s="95"/>
      <c r="AH23" s="95"/>
      <c r="AI23" s="95"/>
      <c r="AJ23" s="95"/>
      <c r="AK23" s="95"/>
      <c r="AL23" s="95"/>
      <c r="AM23" s="95"/>
      <c r="AN23" s="95"/>
    </row>
    <row r="24">
      <c r="A24" s="96" t="s">
        <v>36</v>
      </c>
      <c r="B24" s="97">
        <v>1.0</v>
      </c>
      <c r="C24" s="98">
        <v>0.0</v>
      </c>
      <c r="D24" s="97">
        <v>1.0</v>
      </c>
      <c r="E24" s="97">
        <v>1.0</v>
      </c>
      <c r="F24" s="97">
        <v>1.0</v>
      </c>
      <c r="G24" s="97">
        <v>1.0</v>
      </c>
      <c r="H24" s="97">
        <v>1.0</v>
      </c>
      <c r="I24" s="98">
        <v>0.0</v>
      </c>
      <c r="J24" s="98">
        <v>0.0</v>
      </c>
      <c r="K24" s="97">
        <v>1.0</v>
      </c>
      <c r="L24" s="97">
        <v>1.0</v>
      </c>
      <c r="M24" s="97">
        <v>0.0</v>
      </c>
      <c r="N24" s="97">
        <v>1.0</v>
      </c>
      <c r="O24" s="97">
        <v>1.0</v>
      </c>
      <c r="P24" s="97">
        <v>1.0</v>
      </c>
      <c r="Q24" s="97">
        <v>1.0</v>
      </c>
      <c r="R24" s="97">
        <v>1.0</v>
      </c>
      <c r="S24" s="97">
        <v>1.0</v>
      </c>
      <c r="T24" s="97">
        <v>1.0</v>
      </c>
      <c r="U24" s="98">
        <v>0.0</v>
      </c>
      <c r="V24" s="98">
        <v>0.0</v>
      </c>
      <c r="W24" s="98">
        <v>0.0</v>
      </c>
      <c r="X24" s="98">
        <v>0.0</v>
      </c>
      <c r="Y24" s="98">
        <v>0.0</v>
      </c>
      <c r="Z24" s="98">
        <v>0.0</v>
      </c>
      <c r="AA24" s="99"/>
      <c r="AB24" s="100"/>
      <c r="AC24" s="100"/>
      <c r="AD24" s="100"/>
      <c r="AE24" s="100"/>
      <c r="AF24" s="100"/>
      <c r="AG24" s="100"/>
      <c r="AH24" s="100"/>
      <c r="AI24" s="100"/>
      <c r="AJ24" s="100"/>
      <c r="AK24" s="100"/>
      <c r="AL24" s="100"/>
      <c r="AM24" s="100"/>
      <c r="AN24" s="100"/>
    </row>
    <row r="25">
      <c r="A25" s="101" t="s">
        <v>37</v>
      </c>
      <c r="B25" s="102">
        <f t="shared" ref="B25:T25" si="10">IFERROR(B19/B8, 0)</f>
        <v>0.9666666667</v>
      </c>
      <c r="C25" s="102">
        <f t="shared" si="10"/>
        <v>0.8059701493</v>
      </c>
      <c r="D25" s="102">
        <f t="shared" si="10"/>
        <v>0.9453125</v>
      </c>
      <c r="E25" s="102">
        <f t="shared" si="10"/>
        <v>0.905511811</v>
      </c>
      <c r="F25" s="102">
        <f t="shared" si="10"/>
        <v>0.9047619048</v>
      </c>
      <c r="G25" s="102">
        <f t="shared" si="10"/>
        <v>1.028985507</v>
      </c>
      <c r="H25" s="102">
        <f t="shared" si="10"/>
        <v>0.9496855346</v>
      </c>
      <c r="I25" s="102">
        <f t="shared" si="10"/>
        <v>0</v>
      </c>
      <c r="J25" s="102">
        <f t="shared" si="10"/>
        <v>0.9503546099</v>
      </c>
      <c r="K25" s="102">
        <f t="shared" si="10"/>
        <v>0.7986577181</v>
      </c>
      <c r="L25" s="102">
        <f t="shared" si="10"/>
        <v>0.7972972973</v>
      </c>
      <c r="M25" s="102">
        <f t="shared" si="10"/>
        <v>0.6231884058</v>
      </c>
      <c r="N25" s="102">
        <f t="shared" si="10"/>
        <v>0.8134328358</v>
      </c>
      <c r="O25" s="102">
        <f t="shared" si="10"/>
        <v>0.7692307692</v>
      </c>
      <c r="P25" s="102">
        <f t="shared" si="10"/>
        <v>0.5328947368</v>
      </c>
      <c r="Q25" s="102">
        <f t="shared" si="10"/>
        <v>0.7926829268</v>
      </c>
      <c r="R25" s="102">
        <f t="shared" si="10"/>
        <v>0.7548387097</v>
      </c>
      <c r="S25" s="102">
        <f t="shared" si="10"/>
        <v>0.9746835443</v>
      </c>
      <c r="T25" s="102">
        <f t="shared" si="10"/>
        <v>0.6646706587</v>
      </c>
      <c r="U25" s="103"/>
      <c r="V25" s="103"/>
      <c r="W25" s="103"/>
      <c r="X25" s="103"/>
      <c r="Y25" s="103"/>
      <c r="Z25" s="103"/>
    </row>
    <row r="26">
      <c r="A26" s="105" t="s">
        <v>38</v>
      </c>
      <c r="B26" s="106">
        <f t="shared" ref="B26:T26" si="11">IFERROR(B12/B18, 0)</f>
        <v>0.1212121212</v>
      </c>
      <c r="C26" s="106">
        <f t="shared" si="11"/>
        <v>0.1325301205</v>
      </c>
      <c r="D26" s="106">
        <f t="shared" si="11"/>
        <v>0.1538461538</v>
      </c>
      <c r="E26" s="106">
        <f t="shared" si="11"/>
        <v>0</v>
      </c>
      <c r="F26" s="106">
        <f t="shared" si="11"/>
        <v>0.04285714286</v>
      </c>
      <c r="G26" s="106">
        <f t="shared" si="11"/>
        <v>0.09302325581</v>
      </c>
      <c r="H26" s="106">
        <f t="shared" si="11"/>
        <v>0.1134020619</v>
      </c>
      <c r="I26" s="106">
        <f t="shared" si="11"/>
        <v>0</v>
      </c>
      <c r="J26" s="106">
        <f t="shared" si="11"/>
        <v>0.1882352941</v>
      </c>
      <c r="K26" s="106">
        <f t="shared" si="11"/>
        <v>0.05970149254</v>
      </c>
      <c r="L26" s="106">
        <f t="shared" si="11"/>
        <v>0.1411764706</v>
      </c>
      <c r="M26" s="106">
        <f t="shared" si="11"/>
        <v>0.3181818182</v>
      </c>
      <c r="N26" s="106">
        <f t="shared" si="11"/>
        <v>0</v>
      </c>
      <c r="O26" s="106">
        <f t="shared" si="11"/>
        <v>0.1617647059</v>
      </c>
      <c r="P26" s="106">
        <f t="shared" si="11"/>
        <v>0.04</v>
      </c>
      <c r="Q26" s="106">
        <f t="shared" si="11"/>
        <v>0.048</v>
      </c>
      <c r="R26" s="106">
        <f t="shared" si="11"/>
        <v>0.3943661972</v>
      </c>
      <c r="S26" s="106">
        <f t="shared" si="11"/>
        <v>0.06060606061</v>
      </c>
      <c r="T26" s="106">
        <f t="shared" si="11"/>
        <v>0.1643835616</v>
      </c>
      <c r="U26" s="107"/>
      <c r="V26" s="107"/>
      <c r="W26" s="107"/>
      <c r="X26" s="107"/>
      <c r="Y26" s="107"/>
      <c r="Z26" s="107"/>
    </row>
    <row r="27">
      <c r="A27" s="109" t="s">
        <v>39</v>
      </c>
      <c r="B27" s="110">
        <f t="shared" ref="B27:T27" si="12">IFERROR(B20/B18, 0)</f>
        <v>0.8181818182</v>
      </c>
      <c r="C27" s="110">
        <f t="shared" si="12"/>
        <v>0.6506024096</v>
      </c>
      <c r="D27" s="110">
        <f t="shared" si="12"/>
        <v>0.9615384615</v>
      </c>
      <c r="E27" s="110">
        <f t="shared" si="12"/>
        <v>0.7924528302</v>
      </c>
      <c r="F27" s="110">
        <f t="shared" si="12"/>
        <v>1</v>
      </c>
      <c r="G27" s="110">
        <f t="shared" si="12"/>
        <v>0.6744186047</v>
      </c>
      <c r="H27" s="110">
        <f t="shared" si="12"/>
        <v>0.793814433</v>
      </c>
      <c r="I27" s="110">
        <f t="shared" si="12"/>
        <v>0</v>
      </c>
      <c r="J27" s="110">
        <f t="shared" si="12"/>
        <v>0.5647058824</v>
      </c>
      <c r="K27" s="110">
        <f t="shared" si="12"/>
        <v>0.8507462687</v>
      </c>
      <c r="L27" s="110">
        <f t="shared" si="12"/>
        <v>0.7294117647</v>
      </c>
      <c r="M27" s="110">
        <f t="shared" si="12"/>
        <v>1</v>
      </c>
      <c r="N27" s="110">
        <f t="shared" si="12"/>
        <v>0.8571428571</v>
      </c>
      <c r="O27" s="110">
        <f t="shared" si="12"/>
        <v>0.6176470588</v>
      </c>
      <c r="P27" s="110">
        <f t="shared" si="12"/>
        <v>0.84</v>
      </c>
      <c r="Q27" s="110">
        <f t="shared" si="12"/>
        <v>0.896</v>
      </c>
      <c r="R27" s="110">
        <f t="shared" si="12"/>
        <v>0.8309859155</v>
      </c>
      <c r="S27" s="110">
        <f t="shared" si="12"/>
        <v>0.7575757576</v>
      </c>
      <c r="T27" s="110">
        <f t="shared" si="12"/>
        <v>0.6849315068</v>
      </c>
      <c r="U27" s="110"/>
      <c r="V27" s="110"/>
      <c r="W27" s="110"/>
      <c r="X27" s="110"/>
      <c r="Y27" s="110"/>
      <c r="Z27" s="110"/>
      <c r="AA27" s="112"/>
      <c r="AB27" s="113"/>
      <c r="AC27" s="113"/>
      <c r="AD27" s="113"/>
      <c r="AE27" s="113"/>
      <c r="AF27" s="113"/>
      <c r="AG27" s="113"/>
      <c r="AH27" s="113"/>
      <c r="AI27" s="113"/>
      <c r="AJ27" s="113"/>
      <c r="AK27" s="113"/>
      <c r="AL27" s="113"/>
      <c r="AM27" s="113"/>
      <c r="AN27" s="113"/>
    </row>
    <row r="28">
      <c r="A28" s="114" t="s">
        <v>40</v>
      </c>
      <c r="B28" s="406">
        <f t="shared" ref="B28:T28" si="13">IFERROR(B22/B8, 0)</f>
        <v>0.5583333333</v>
      </c>
      <c r="C28" s="406">
        <f t="shared" si="13"/>
        <v>0.5895522388</v>
      </c>
      <c r="D28" s="406">
        <f t="shared" si="13"/>
        <v>0.6328125</v>
      </c>
      <c r="E28" s="406">
        <f t="shared" si="13"/>
        <v>0.4724409449</v>
      </c>
      <c r="F28" s="406">
        <f t="shared" si="13"/>
        <v>0.6111111111</v>
      </c>
      <c r="G28" s="406">
        <f t="shared" si="13"/>
        <v>0.5362318841</v>
      </c>
      <c r="H28" s="406">
        <f t="shared" si="13"/>
        <v>0.6163522013</v>
      </c>
      <c r="I28" s="406">
        <f t="shared" si="13"/>
        <v>0</v>
      </c>
      <c r="J28" s="406">
        <f t="shared" si="13"/>
        <v>0.609929078</v>
      </c>
      <c r="K28" s="406">
        <f t="shared" si="13"/>
        <v>0.5704697987</v>
      </c>
      <c r="L28" s="406">
        <f t="shared" si="13"/>
        <v>0.6824324324</v>
      </c>
      <c r="M28" s="406">
        <f t="shared" si="13"/>
        <v>0.5797101449</v>
      </c>
      <c r="N28" s="406">
        <f t="shared" si="13"/>
        <v>0.5373134328</v>
      </c>
      <c r="O28" s="406">
        <f t="shared" si="13"/>
        <v>0.6230769231</v>
      </c>
      <c r="P28" s="406">
        <f t="shared" si="13"/>
        <v>0.6052631579</v>
      </c>
      <c r="Q28" s="406">
        <f t="shared" si="13"/>
        <v>0.6300813008</v>
      </c>
      <c r="R28" s="406">
        <f t="shared" si="13"/>
        <v>0.5806451613</v>
      </c>
      <c r="S28" s="406">
        <f t="shared" si="13"/>
        <v>0.6265822785</v>
      </c>
      <c r="T28" s="406">
        <f t="shared" si="13"/>
        <v>0.5988023952</v>
      </c>
      <c r="U28" s="115"/>
      <c r="V28" s="115"/>
      <c r="W28" s="115"/>
      <c r="X28" s="115"/>
      <c r="Y28" s="115"/>
      <c r="Z28" s="115"/>
      <c r="AA28" s="112"/>
      <c r="AB28" s="113"/>
      <c r="AC28" s="113"/>
      <c r="AD28" s="113"/>
      <c r="AE28" s="113"/>
      <c r="AF28" s="113"/>
      <c r="AG28" s="113"/>
      <c r="AH28" s="113"/>
      <c r="AI28" s="113"/>
      <c r="AJ28" s="113"/>
      <c r="AK28" s="113"/>
      <c r="AL28" s="113"/>
      <c r="AM28" s="113"/>
      <c r="AN28" s="113"/>
    </row>
    <row r="29">
      <c r="A29" s="117" t="s">
        <v>41</v>
      </c>
      <c r="B29" s="118"/>
      <c r="C29" s="119"/>
      <c r="D29" s="119"/>
      <c r="E29" s="119"/>
      <c r="F29" s="119"/>
      <c r="G29" s="119"/>
      <c r="H29" s="119"/>
      <c r="I29" s="119"/>
      <c r="J29" s="119"/>
      <c r="K29" s="119"/>
      <c r="L29" s="119"/>
      <c r="M29" s="119"/>
      <c r="N29" s="119"/>
      <c r="O29" s="119"/>
      <c r="P29" s="119"/>
      <c r="Q29" s="119"/>
      <c r="R29" s="119"/>
      <c r="S29" s="119"/>
      <c r="T29" s="120"/>
      <c r="U29" s="119"/>
      <c r="V29" s="119"/>
      <c r="W29" s="119"/>
      <c r="X29" s="119"/>
      <c r="Y29" s="119"/>
      <c r="Z29" s="119"/>
      <c r="AA29" s="121"/>
      <c r="AB29" s="121"/>
      <c r="AC29" s="121"/>
      <c r="AD29" s="121"/>
      <c r="AE29" s="121"/>
      <c r="AF29" s="99"/>
      <c r="AG29" s="99"/>
      <c r="AH29" s="99"/>
      <c r="AI29" s="99"/>
      <c r="AJ29" s="99"/>
      <c r="AK29" s="99"/>
      <c r="AL29" s="99"/>
      <c r="AM29" s="99"/>
      <c r="AN29" s="99"/>
    </row>
    <row r="30">
      <c r="A30" s="184" t="s">
        <v>141</v>
      </c>
      <c r="B30" s="185">
        <f t="shared" ref="B30:Z30" si="14">B51/B8</f>
        <v>0</v>
      </c>
      <c r="C30" s="185">
        <f t="shared" si="14"/>
        <v>0</v>
      </c>
      <c r="D30" s="185">
        <f t="shared" si="14"/>
        <v>0</v>
      </c>
      <c r="E30" s="185">
        <f t="shared" si="14"/>
        <v>0</v>
      </c>
      <c r="F30" s="185">
        <f t="shared" si="14"/>
        <v>0</v>
      </c>
      <c r="G30" s="185">
        <f t="shared" si="14"/>
        <v>0</v>
      </c>
      <c r="H30" s="185">
        <f t="shared" si="14"/>
        <v>0</v>
      </c>
      <c r="I30" s="185" t="str">
        <f t="shared" si="14"/>
        <v>#DIV/0!</v>
      </c>
      <c r="J30" s="185">
        <f t="shared" si="14"/>
        <v>0</v>
      </c>
      <c r="K30" s="185">
        <f t="shared" si="14"/>
        <v>0</v>
      </c>
      <c r="L30" s="185">
        <f t="shared" si="14"/>
        <v>0</v>
      </c>
      <c r="M30" s="185">
        <f t="shared" si="14"/>
        <v>0</v>
      </c>
      <c r="N30" s="185">
        <f t="shared" si="14"/>
        <v>0</v>
      </c>
      <c r="O30" s="185">
        <f t="shared" si="14"/>
        <v>0</v>
      </c>
      <c r="P30" s="185">
        <f t="shared" si="14"/>
        <v>0</v>
      </c>
      <c r="Q30" s="185">
        <f t="shared" si="14"/>
        <v>0</v>
      </c>
      <c r="R30" s="185">
        <f t="shared" si="14"/>
        <v>0</v>
      </c>
      <c r="S30" s="185">
        <f t="shared" si="14"/>
        <v>0</v>
      </c>
      <c r="T30" s="185">
        <f t="shared" si="14"/>
        <v>0</v>
      </c>
      <c r="U30" s="185">
        <f t="shared" si="14"/>
        <v>0</v>
      </c>
      <c r="V30" s="185" t="str">
        <f t="shared" si="14"/>
        <v>#DIV/0!</v>
      </c>
      <c r="W30" s="185" t="str">
        <f t="shared" si="14"/>
        <v>#DIV/0!</v>
      </c>
      <c r="X30" s="185" t="str">
        <f t="shared" si="14"/>
        <v>#DIV/0!</v>
      </c>
      <c r="Y30" s="185" t="str">
        <f t="shared" si="14"/>
        <v>#DIV/0!</v>
      </c>
      <c r="Z30" s="185" t="str">
        <f t="shared" si="14"/>
        <v>#DIV/0!</v>
      </c>
      <c r="AA30" s="240"/>
      <c r="AB30" s="240"/>
      <c r="AC30" s="186"/>
      <c r="AD30" s="186"/>
      <c r="AE30" s="186"/>
      <c r="AF30" s="186"/>
      <c r="AG30" s="186"/>
      <c r="AH30" s="186"/>
      <c r="AI30" s="186"/>
      <c r="AJ30" s="186"/>
      <c r="AK30" s="186"/>
      <c r="AL30" s="186"/>
      <c r="AM30" s="186"/>
      <c r="AN30" s="186"/>
    </row>
    <row r="31">
      <c r="A31" s="187" t="s">
        <v>42</v>
      </c>
      <c r="B31" s="191">
        <v>0.28</v>
      </c>
      <c r="C31" s="191">
        <v>0.29</v>
      </c>
      <c r="D31" s="191">
        <v>0.39</v>
      </c>
      <c r="E31" s="191">
        <v>0.51</v>
      </c>
      <c r="F31" s="191">
        <v>0.46</v>
      </c>
      <c r="G31" s="191">
        <v>0.38</v>
      </c>
      <c r="H31" s="191">
        <v>0.3</v>
      </c>
      <c r="I31" s="191">
        <v>0.0</v>
      </c>
      <c r="J31" s="191">
        <v>0.44</v>
      </c>
      <c r="K31" s="191">
        <v>0.4</v>
      </c>
      <c r="L31" s="191">
        <v>0.24</v>
      </c>
      <c r="M31" s="191">
        <v>0.03</v>
      </c>
      <c r="N31" s="191">
        <v>0.27</v>
      </c>
      <c r="O31" s="505">
        <f>46/O8</f>
        <v>0.3538461538</v>
      </c>
      <c r="P31" s="191">
        <v>0.1428</v>
      </c>
      <c r="Q31" s="505">
        <v>0.368</v>
      </c>
      <c r="R31" s="185">
        <f>26/R8</f>
        <v>0.1677419355</v>
      </c>
      <c r="S31" s="185">
        <f>31/170</f>
        <v>0.1823529412</v>
      </c>
      <c r="T31" s="191">
        <v>0.23</v>
      </c>
      <c r="U31" s="191">
        <v>0.18</v>
      </c>
      <c r="V31" s="185">
        <v>0.0</v>
      </c>
      <c r="W31" s="185">
        <v>0.0</v>
      </c>
      <c r="X31" s="185">
        <v>0.0</v>
      </c>
      <c r="Y31" s="185">
        <v>0.0</v>
      </c>
      <c r="Z31" s="185">
        <v>0.0</v>
      </c>
      <c r="AA31" s="188"/>
      <c r="AB31" s="189"/>
      <c r="AC31" s="189"/>
      <c r="AD31" s="189"/>
      <c r="AE31" s="189"/>
      <c r="AF31" s="147"/>
      <c r="AG31" s="147"/>
      <c r="AH31" s="147"/>
      <c r="AI31" s="147"/>
      <c r="AJ31" s="147"/>
      <c r="AK31" s="147"/>
      <c r="AL31" s="147"/>
      <c r="AM31" s="147"/>
      <c r="AN31" s="147"/>
    </row>
    <row r="32">
      <c r="A32" s="480" t="s">
        <v>811</v>
      </c>
      <c r="B32" s="191">
        <v>1.0</v>
      </c>
      <c r="C32" s="191">
        <v>1.0</v>
      </c>
      <c r="D32" s="191">
        <v>1.0</v>
      </c>
      <c r="E32" s="191">
        <v>1.0</v>
      </c>
      <c r="F32" s="191">
        <v>1.0</v>
      </c>
      <c r="G32" s="191">
        <v>1.0</v>
      </c>
      <c r="H32" s="191">
        <v>1.0</v>
      </c>
      <c r="I32" s="191">
        <v>0.0</v>
      </c>
      <c r="J32" s="191">
        <v>1.0</v>
      </c>
      <c r="K32" s="191">
        <v>1.0</v>
      </c>
      <c r="L32" s="191">
        <v>1.0</v>
      </c>
      <c r="M32" s="191">
        <v>1.0</v>
      </c>
      <c r="N32" s="191">
        <v>1.0</v>
      </c>
      <c r="O32" s="191">
        <v>1.0</v>
      </c>
      <c r="P32" s="191">
        <v>1.0</v>
      </c>
      <c r="Q32" s="191">
        <v>1.0</v>
      </c>
      <c r="R32" s="191">
        <v>1.0</v>
      </c>
      <c r="S32" s="191">
        <v>1.0</v>
      </c>
      <c r="T32" s="185">
        <v>0.0</v>
      </c>
      <c r="U32" s="185">
        <v>0.0</v>
      </c>
      <c r="V32" s="185">
        <v>0.0</v>
      </c>
      <c r="W32" s="185">
        <v>0.0</v>
      </c>
      <c r="X32" s="185">
        <v>0.0</v>
      </c>
      <c r="Y32" s="185">
        <v>0.0</v>
      </c>
      <c r="Z32" s="185">
        <v>0.0</v>
      </c>
      <c r="AA32" s="189"/>
      <c r="AB32" s="189"/>
      <c r="AC32" s="189"/>
      <c r="AD32" s="189"/>
      <c r="AE32" s="189"/>
      <c r="AF32" s="147"/>
      <c r="AG32" s="147"/>
      <c r="AH32" s="147"/>
      <c r="AI32" s="147"/>
      <c r="AJ32" s="147"/>
      <c r="AK32" s="147"/>
      <c r="AL32" s="147"/>
      <c r="AM32" s="147"/>
      <c r="AN32" s="147"/>
    </row>
    <row r="33">
      <c r="A33" s="187" t="s">
        <v>44</v>
      </c>
      <c r="B33" s="192">
        <f t="shared" ref="B33:Z33" si="15">(B24*0.7) + (IF(B31 &gt;= 25%, 1, 0)*0.15) + (B32*0.15)</f>
        <v>1</v>
      </c>
      <c r="C33" s="192">
        <f t="shared" si="15"/>
        <v>0.3</v>
      </c>
      <c r="D33" s="192">
        <f t="shared" si="15"/>
        <v>1</v>
      </c>
      <c r="E33" s="192">
        <f t="shared" si="15"/>
        <v>1</v>
      </c>
      <c r="F33" s="192">
        <f t="shared" si="15"/>
        <v>1</v>
      </c>
      <c r="G33" s="192">
        <f t="shared" si="15"/>
        <v>1</v>
      </c>
      <c r="H33" s="192">
        <f t="shared" si="15"/>
        <v>1</v>
      </c>
      <c r="I33" s="192">
        <f t="shared" si="15"/>
        <v>0</v>
      </c>
      <c r="J33" s="192">
        <f t="shared" si="15"/>
        <v>0.3</v>
      </c>
      <c r="K33" s="192">
        <f t="shared" si="15"/>
        <v>1</v>
      </c>
      <c r="L33" s="192">
        <f t="shared" si="15"/>
        <v>0.85</v>
      </c>
      <c r="M33" s="192">
        <f t="shared" si="15"/>
        <v>0.15</v>
      </c>
      <c r="N33" s="192">
        <f t="shared" si="15"/>
        <v>1</v>
      </c>
      <c r="O33" s="192">
        <f t="shared" si="15"/>
        <v>1</v>
      </c>
      <c r="P33" s="192">
        <f t="shared" si="15"/>
        <v>0.85</v>
      </c>
      <c r="Q33" s="192">
        <f t="shared" si="15"/>
        <v>1</v>
      </c>
      <c r="R33" s="192">
        <f t="shared" si="15"/>
        <v>0.85</v>
      </c>
      <c r="S33" s="192">
        <f t="shared" si="15"/>
        <v>0.85</v>
      </c>
      <c r="T33" s="192">
        <f t="shared" si="15"/>
        <v>0.7</v>
      </c>
      <c r="U33" s="192">
        <f t="shared" si="15"/>
        <v>0</v>
      </c>
      <c r="V33" s="192">
        <f t="shared" si="15"/>
        <v>0</v>
      </c>
      <c r="W33" s="192">
        <f t="shared" si="15"/>
        <v>0</v>
      </c>
      <c r="X33" s="192">
        <f t="shared" si="15"/>
        <v>0</v>
      </c>
      <c r="Y33" s="192">
        <f t="shared" si="15"/>
        <v>0</v>
      </c>
      <c r="Z33" s="192">
        <f t="shared" si="15"/>
        <v>0</v>
      </c>
      <c r="AA33" s="189"/>
      <c r="AB33" s="189"/>
      <c r="AC33" s="189"/>
      <c r="AD33" s="189"/>
      <c r="AE33" s="189"/>
      <c r="AF33" s="147"/>
      <c r="AG33" s="147"/>
      <c r="AH33" s="147"/>
      <c r="AI33" s="147"/>
      <c r="AJ33" s="147"/>
      <c r="AK33" s="147"/>
      <c r="AL33" s="147"/>
      <c r="AM33" s="147"/>
      <c r="AN33" s="147"/>
    </row>
    <row r="34">
      <c r="A34" s="193" t="s">
        <v>142</v>
      </c>
      <c r="B34" s="194"/>
      <c r="O34" s="192">
        <v>1.0</v>
      </c>
      <c r="P34" s="195">
        <v>0.0</v>
      </c>
      <c r="Q34" s="192">
        <v>1.0</v>
      </c>
      <c r="R34" s="195">
        <v>0.0</v>
      </c>
      <c r="S34" s="195">
        <v>0.0</v>
      </c>
      <c r="T34" s="195">
        <v>0.0</v>
      </c>
    </row>
    <row r="35">
      <c r="A35" s="126" t="s">
        <v>45</v>
      </c>
      <c r="B35" s="127"/>
      <c r="C35" s="128"/>
      <c r="D35" s="128"/>
      <c r="E35" s="128"/>
      <c r="F35" s="128"/>
      <c r="G35" s="128"/>
      <c r="H35" s="128"/>
      <c r="I35" s="128"/>
      <c r="J35" s="128"/>
      <c r="K35" s="128"/>
      <c r="L35" s="128"/>
      <c r="M35" s="128"/>
      <c r="N35" s="128"/>
      <c r="O35" s="128"/>
      <c r="P35" s="128"/>
      <c r="Q35" s="128"/>
      <c r="R35" s="128"/>
      <c r="S35" s="128"/>
      <c r="T35" s="129"/>
      <c r="U35" s="128"/>
      <c r="V35" s="128"/>
      <c r="W35" s="128"/>
      <c r="X35" s="128"/>
      <c r="Y35" s="128"/>
      <c r="Z35" s="128"/>
      <c r="AA35" s="128"/>
      <c r="AB35" s="128"/>
      <c r="AC35" s="130"/>
      <c r="AD35" s="130"/>
      <c r="AE35" s="130"/>
      <c r="AF35" s="130"/>
      <c r="AG35" s="130"/>
      <c r="AH35" s="130"/>
      <c r="AI35" s="130"/>
      <c r="AJ35" s="130"/>
      <c r="AK35" s="130"/>
      <c r="AL35" s="130"/>
      <c r="AM35" s="130"/>
      <c r="AN35" s="130"/>
    </row>
    <row r="36">
      <c r="A36" s="131" t="s">
        <v>812</v>
      </c>
      <c r="B36" s="132">
        <v>24.0</v>
      </c>
      <c r="C36" s="200">
        <v>26.0</v>
      </c>
      <c r="D36" s="200">
        <v>21.0</v>
      </c>
      <c r="E36" s="200">
        <v>23.0</v>
      </c>
      <c r="F36" s="200">
        <v>21.0</v>
      </c>
      <c r="G36" s="200">
        <v>26.0</v>
      </c>
      <c r="H36" s="482">
        <v>28.0</v>
      </c>
      <c r="I36" s="291"/>
      <c r="J36" s="200">
        <v>21.0</v>
      </c>
      <c r="K36" s="200">
        <v>31.0</v>
      </c>
      <c r="L36" s="200">
        <v>21.0</v>
      </c>
      <c r="M36" s="200">
        <v>13.0</v>
      </c>
      <c r="N36" s="133">
        <v>24.0</v>
      </c>
      <c r="O36" s="133">
        <v>28.0</v>
      </c>
      <c r="P36" s="133">
        <v>30.0</v>
      </c>
      <c r="Q36" s="133">
        <v>33.0</v>
      </c>
      <c r="R36" s="133">
        <v>21.0</v>
      </c>
      <c r="S36" s="133">
        <v>28.0</v>
      </c>
      <c r="T36" s="134">
        <v>25.0</v>
      </c>
      <c r="U36" s="133"/>
      <c r="V36" s="133"/>
      <c r="W36" s="133"/>
      <c r="X36" s="133"/>
      <c r="Y36" s="133"/>
      <c r="Z36" s="133"/>
      <c r="AA36" s="133"/>
      <c r="AB36" s="130"/>
      <c r="AC36" s="130"/>
      <c r="AD36" s="130"/>
      <c r="AE36" s="130"/>
      <c r="AF36" s="130"/>
      <c r="AG36" s="130"/>
      <c r="AH36" s="130"/>
      <c r="AI36" s="130"/>
      <c r="AJ36" s="130"/>
      <c r="AK36" s="130"/>
      <c r="AL36" s="130"/>
      <c r="AM36" s="130"/>
      <c r="AN36" s="130"/>
    </row>
    <row r="37">
      <c r="A37" s="131" t="s">
        <v>813</v>
      </c>
      <c r="B37" s="132">
        <v>27.0</v>
      </c>
      <c r="C37" s="200">
        <v>34.0</v>
      </c>
      <c r="D37" s="200">
        <v>32.0</v>
      </c>
      <c r="E37" s="200">
        <v>31.0</v>
      </c>
      <c r="F37" s="200">
        <v>36.0</v>
      </c>
      <c r="G37" s="200">
        <v>28.0</v>
      </c>
      <c r="H37" s="482">
        <v>45.0</v>
      </c>
      <c r="I37" s="291"/>
      <c r="J37" s="200">
        <v>30.0</v>
      </c>
      <c r="K37" s="200">
        <v>32.0</v>
      </c>
      <c r="L37" s="200">
        <v>30.0</v>
      </c>
      <c r="M37" s="200">
        <v>17.0</v>
      </c>
      <c r="N37" s="133">
        <v>28.0</v>
      </c>
      <c r="O37" s="133">
        <v>32.0</v>
      </c>
      <c r="P37" s="133">
        <v>28.0</v>
      </c>
      <c r="Q37" s="133">
        <v>54.0</v>
      </c>
      <c r="R37" s="133">
        <v>32.0</v>
      </c>
      <c r="S37" s="133">
        <v>27.0</v>
      </c>
      <c r="T37" s="134">
        <v>31.0</v>
      </c>
      <c r="U37" s="130"/>
      <c r="V37" s="130"/>
      <c r="W37" s="130"/>
      <c r="X37" s="130"/>
      <c r="Y37" s="130"/>
      <c r="Z37" s="130"/>
      <c r="AA37" s="130"/>
      <c r="AB37" s="130"/>
      <c r="AC37" s="130"/>
      <c r="AD37" s="130"/>
      <c r="AE37" s="130"/>
      <c r="AF37" s="130"/>
      <c r="AG37" s="130"/>
      <c r="AH37" s="130"/>
      <c r="AI37" s="130"/>
      <c r="AJ37" s="130"/>
      <c r="AK37" s="130"/>
      <c r="AL37" s="130"/>
      <c r="AM37" s="130"/>
      <c r="AN37" s="130"/>
    </row>
    <row r="38">
      <c r="A38" s="131" t="s">
        <v>760</v>
      </c>
      <c r="B38" s="132">
        <v>18.0</v>
      </c>
      <c r="C38" s="200">
        <v>21.0</v>
      </c>
      <c r="D38" s="200">
        <v>21.0</v>
      </c>
      <c r="E38" s="200">
        <v>19.0</v>
      </c>
      <c r="F38" s="200">
        <v>22.0</v>
      </c>
      <c r="G38" s="200">
        <v>21.0</v>
      </c>
      <c r="H38" s="482">
        <v>15.0</v>
      </c>
      <c r="I38" s="291"/>
      <c r="J38" s="200">
        <v>24.0</v>
      </c>
      <c r="K38" s="200">
        <v>27.0</v>
      </c>
      <c r="L38" s="200">
        <v>22.0</v>
      </c>
      <c r="M38" s="200" t="s">
        <v>59</v>
      </c>
      <c r="N38" s="133">
        <v>19.0</v>
      </c>
      <c r="O38" s="133">
        <v>16.0</v>
      </c>
      <c r="P38" s="133">
        <v>16.0</v>
      </c>
      <c r="Q38" s="133">
        <v>25.0</v>
      </c>
      <c r="R38" s="133">
        <v>19.0</v>
      </c>
      <c r="S38" s="133">
        <v>20.0</v>
      </c>
      <c r="T38" s="134">
        <v>21.0</v>
      </c>
      <c r="U38" s="133"/>
      <c r="V38" s="133"/>
      <c r="W38" s="133"/>
      <c r="X38" s="133"/>
      <c r="Y38" s="133"/>
      <c r="Z38" s="133"/>
      <c r="AA38" s="133"/>
      <c r="AB38" s="130"/>
      <c r="AC38" s="130"/>
      <c r="AD38" s="130"/>
      <c r="AE38" s="130"/>
      <c r="AF38" s="130"/>
      <c r="AG38" s="130"/>
      <c r="AH38" s="130"/>
      <c r="AI38" s="130"/>
      <c r="AJ38" s="130"/>
      <c r="AK38" s="130"/>
      <c r="AL38" s="130"/>
      <c r="AM38" s="130"/>
      <c r="AN38" s="130"/>
    </row>
    <row r="39">
      <c r="A39" s="131" t="s">
        <v>814</v>
      </c>
      <c r="B39" s="132">
        <v>27.0</v>
      </c>
      <c r="C39" s="200">
        <v>31.0</v>
      </c>
      <c r="D39" s="200">
        <v>33.0</v>
      </c>
      <c r="E39" s="200">
        <v>31.0</v>
      </c>
      <c r="F39" s="200">
        <v>29.0</v>
      </c>
      <c r="G39" s="200">
        <v>34.0</v>
      </c>
      <c r="H39" s="482">
        <v>51.0</v>
      </c>
      <c r="I39" s="291"/>
      <c r="J39" s="482">
        <v>33.0</v>
      </c>
      <c r="K39" s="200">
        <v>28.0</v>
      </c>
      <c r="L39" s="200">
        <v>37.0</v>
      </c>
      <c r="M39" s="200">
        <v>19.0</v>
      </c>
      <c r="N39" s="133">
        <v>34.0</v>
      </c>
      <c r="O39" s="133">
        <v>21.0</v>
      </c>
      <c r="P39" s="133">
        <v>36.0</v>
      </c>
      <c r="Q39" s="133">
        <v>55.0</v>
      </c>
      <c r="R39" s="133">
        <v>36.0</v>
      </c>
      <c r="S39" s="133">
        <v>28.0</v>
      </c>
      <c r="T39" s="134">
        <v>35.0</v>
      </c>
      <c r="U39" s="133"/>
      <c r="V39" s="133"/>
      <c r="W39" s="133"/>
      <c r="X39" s="133"/>
      <c r="Y39" s="133"/>
      <c r="Z39" s="133"/>
      <c r="AA39" s="133"/>
      <c r="AB39" s="130"/>
      <c r="AC39" s="130"/>
      <c r="AD39" s="130"/>
      <c r="AE39" s="130"/>
      <c r="AF39" s="130"/>
      <c r="AG39" s="130"/>
      <c r="AH39" s="130"/>
      <c r="AI39" s="130"/>
      <c r="AJ39" s="130"/>
      <c r="AK39" s="130"/>
      <c r="AL39" s="130"/>
      <c r="AM39" s="130"/>
      <c r="AN39" s="130"/>
    </row>
    <row r="40">
      <c r="A40" s="131" t="s">
        <v>815</v>
      </c>
      <c r="B40" s="136" t="s">
        <v>59</v>
      </c>
      <c r="C40" s="136" t="s">
        <v>59</v>
      </c>
      <c r="D40" s="136" t="s">
        <v>59</v>
      </c>
      <c r="E40" s="136" t="s">
        <v>59</v>
      </c>
      <c r="F40" s="136" t="s">
        <v>59</v>
      </c>
      <c r="G40" s="136" t="s">
        <v>59</v>
      </c>
      <c r="H40" s="136" t="s">
        <v>59</v>
      </c>
      <c r="I40" s="291"/>
      <c r="J40" s="136">
        <v>5.0</v>
      </c>
      <c r="K40" s="200">
        <v>8.0</v>
      </c>
      <c r="L40" s="200">
        <v>15.0</v>
      </c>
      <c r="M40" s="200" t="s">
        <v>59</v>
      </c>
      <c r="N40" s="133">
        <v>19.0</v>
      </c>
      <c r="O40" s="133">
        <v>17.0</v>
      </c>
      <c r="P40" s="133">
        <v>23.0</v>
      </c>
      <c r="Q40" s="133">
        <v>44.0</v>
      </c>
      <c r="R40" s="133">
        <v>19.0</v>
      </c>
      <c r="S40" s="133">
        <v>29.0</v>
      </c>
      <c r="T40" s="134">
        <v>31.0</v>
      </c>
      <c r="U40" s="133"/>
      <c r="V40" s="133"/>
      <c r="W40" s="133"/>
      <c r="X40" s="133"/>
      <c r="Y40" s="133"/>
      <c r="Z40" s="133"/>
      <c r="AA40" s="133"/>
      <c r="AB40" s="130"/>
      <c r="AC40" s="130"/>
      <c r="AD40" s="130"/>
      <c r="AE40" s="130"/>
      <c r="AF40" s="130"/>
      <c r="AG40" s="130"/>
      <c r="AH40" s="130"/>
      <c r="AI40" s="130"/>
      <c r="AJ40" s="130"/>
      <c r="AK40" s="130"/>
      <c r="AL40" s="130"/>
      <c r="AM40" s="130"/>
      <c r="AN40" s="130"/>
    </row>
    <row r="41">
      <c r="A41" s="131" t="s">
        <v>816</v>
      </c>
      <c r="B41" s="132">
        <v>24.0</v>
      </c>
      <c r="C41" s="200">
        <v>22.0</v>
      </c>
      <c r="D41" s="200">
        <v>21.0</v>
      </c>
      <c r="E41" s="200">
        <v>23.0</v>
      </c>
      <c r="F41" s="200">
        <v>18.0</v>
      </c>
      <c r="G41" s="200">
        <v>29.0</v>
      </c>
      <c r="H41" s="482">
        <v>20.0</v>
      </c>
      <c r="I41" s="291"/>
      <c r="J41" s="200">
        <v>17.0</v>
      </c>
      <c r="K41" s="200">
        <v>15.0</v>
      </c>
      <c r="L41" s="200">
        <v>15.0</v>
      </c>
      <c r="M41" s="200">
        <v>8.0</v>
      </c>
      <c r="N41" s="133">
        <v>11.0</v>
      </c>
      <c r="O41" s="133">
        <v>14.0</v>
      </c>
      <c r="P41" s="133">
        <v>12.0</v>
      </c>
      <c r="Q41" s="133">
        <v>21.0</v>
      </c>
      <c r="R41" s="133">
        <v>14.0</v>
      </c>
      <c r="S41" s="133">
        <v>16.0</v>
      </c>
      <c r="T41" s="134">
        <v>16.0</v>
      </c>
      <c r="U41" s="133"/>
      <c r="V41" s="133"/>
      <c r="W41" s="133"/>
      <c r="X41" s="133"/>
      <c r="Y41" s="133"/>
      <c r="Z41" s="133"/>
      <c r="AA41" s="133"/>
      <c r="AB41" s="130"/>
      <c r="AC41" s="130"/>
      <c r="AD41" s="130"/>
      <c r="AE41" s="130"/>
      <c r="AF41" s="130"/>
      <c r="AG41" s="130"/>
      <c r="AH41" s="130"/>
      <c r="AI41" s="130"/>
      <c r="AJ41" s="130"/>
      <c r="AK41" s="130"/>
      <c r="AL41" s="130"/>
      <c r="AM41" s="130"/>
      <c r="AN41" s="130"/>
    </row>
    <row r="42">
      <c r="A42" s="131" t="s">
        <v>817</v>
      </c>
      <c r="B42" s="136" t="s">
        <v>59</v>
      </c>
      <c r="C42" s="136" t="s">
        <v>59</v>
      </c>
      <c r="D42" s="136" t="s">
        <v>59</v>
      </c>
      <c r="E42" s="136" t="s">
        <v>59</v>
      </c>
      <c r="F42" s="136" t="s">
        <v>59</v>
      </c>
      <c r="G42" s="136" t="s">
        <v>59</v>
      </c>
      <c r="H42" s="136" t="s">
        <v>59</v>
      </c>
      <c r="I42" s="291"/>
      <c r="J42" s="200">
        <v>11.0</v>
      </c>
      <c r="K42" s="200">
        <v>8.0</v>
      </c>
      <c r="L42" s="200">
        <v>8.0</v>
      </c>
      <c r="M42" s="200">
        <v>8.0</v>
      </c>
      <c r="N42" s="133">
        <v>9.0</v>
      </c>
      <c r="O42" s="133">
        <v>5.0</v>
      </c>
      <c r="P42" s="133">
        <v>7.0</v>
      </c>
      <c r="Q42" s="133">
        <v>15.0</v>
      </c>
      <c r="R42" s="133">
        <v>12.0</v>
      </c>
      <c r="S42" s="133">
        <v>19.0</v>
      </c>
      <c r="T42" s="134">
        <v>13.0</v>
      </c>
      <c r="U42" s="133"/>
      <c r="V42" s="133"/>
      <c r="W42" s="133"/>
      <c r="X42" s="133"/>
      <c r="Y42" s="133"/>
      <c r="Z42" s="133"/>
      <c r="AA42" s="133"/>
      <c r="AB42" s="130"/>
      <c r="AC42" s="130"/>
      <c r="AD42" s="130"/>
      <c r="AE42" s="130"/>
      <c r="AF42" s="130"/>
      <c r="AG42" s="130"/>
      <c r="AH42" s="130"/>
      <c r="AI42" s="130"/>
      <c r="AJ42" s="130"/>
      <c r="AK42" s="130"/>
      <c r="AL42" s="130"/>
      <c r="AM42" s="130"/>
      <c r="AN42" s="130"/>
    </row>
    <row r="43">
      <c r="A43" s="126" t="s">
        <v>46</v>
      </c>
      <c r="B43" s="127"/>
      <c r="C43" s="506"/>
      <c r="D43" s="506"/>
      <c r="E43" s="506"/>
      <c r="F43" s="506"/>
      <c r="G43" s="506"/>
      <c r="H43" s="506"/>
      <c r="I43" s="506"/>
      <c r="J43" s="506"/>
      <c r="K43" s="506"/>
      <c r="L43" s="506"/>
      <c r="M43" s="506"/>
      <c r="N43" s="128"/>
      <c r="O43" s="128"/>
      <c r="P43" s="128"/>
      <c r="Q43" s="128"/>
      <c r="R43" s="128"/>
      <c r="S43" s="128"/>
      <c r="T43" s="129"/>
      <c r="U43" s="128"/>
      <c r="V43" s="128"/>
      <c r="W43" s="128"/>
      <c r="X43" s="128"/>
      <c r="Y43" s="128"/>
      <c r="Z43" s="128"/>
      <c r="AA43" s="128"/>
      <c r="AB43" s="128"/>
      <c r="AC43" s="130"/>
      <c r="AD43" s="130"/>
      <c r="AE43" s="130"/>
      <c r="AF43" s="130"/>
      <c r="AG43" s="130"/>
      <c r="AH43" s="130"/>
      <c r="AI43" s="130"/>
      <c r="AJ43" s="130"/>
      <c r="AK43" s="130"/>
      <c r="AL43" s="130"/>
      <c r="AM43" s="130"/>
      <c r="AN43" s="130"/>
    </row>
    <row r="44">
      <c r="A44" s="507" t="s">
        <v>812</v>
      </c>
      <c r="B44" s="132">
        <v>24.0</v>
      </c>
      <c r="C44" s="200">
        <v>5.0</v>
      </c>
      <c r="D44" s="200">
        <v>21.0</v>
      </c>
      <c r="E44" s="200">
        <v>23.0</v>
      </c>
      <c r="F44" s="200">
        <v>26.0</v>
      </c>
      <c r="G44" s="200">
        <v>26.0</v>
      </c>
      <c r="H44" s="482">
        <v>28.0</v>
      </c>
      <c r="I44" s="200"/>
      <c r="J44" s="200">
        <v>21.0</v>
      </c>
      <c r="K44" s="200">
        <v>31.0</v>
      </c>
      <c r="L44" s="200">
        <v>21.0</v>
      </c>
      <c r="M44" s="200">
        <v>13.0</v>
      </c>
      <c r="N44" s="133">
        <v>24.0</v>
      </c>
      <c r="O44" s="133">
        <v>28.0</v>
      </c>
      <c r="P44" s="133">
        <v>17.0</v>
      </c>
      <c r="Q44" s="508">
        <v>15.0</v>
      </c>
      <c r="R44" s="133">
        <v>16.0</v>
      </c>
      <c r="S44" s="133">
        <v>28.0</v>
      </c>
      <c r="T44" s="134"/>
      <c r="U44" s="133"/>
      <c r="V44" s="133"/>
      <c r="W44" s="133"/>
      <c r="X44" s="133"/>
      <c r="Y44" s="133"/>
      <c r="Z44" s="133"/>
      <c r="AA44" s="130"/>
      <c r="AB44" s="130"/>
      <c r="AC44" s="130"/>
      <c r="AD44" s="130"/>
      <c r="AE44" s="130"/>
      <c r="AF44" s="130"/>
      <c r="AG44" s="130"/>
      <c r="AH44" s="130"/>
      <c r="AI44" s="130"/>
      <c r="AJ44" s="130"/>
      <c r="AK44" s="130"/>
      <c r="AL44" s="130"/>
      <c r="AM44" s="130"/>
      <c r="AN44" s="130"/>
    </row>
    <row r="45">
      <c r="A45" s="131" t="s">
        <v>813</v>
      </c>
      <c r="B45" s="132">
        <v>26.0</v>
      </c>
      <c r="C45" s="200">
        <v>34.0</v>
      </c>
      <c r="D45" s="200">
        <v>35.0</v>
      </c>
      <c r="E45" s="200">
        <v>24.0</v>
      </c>
      <c r="F45" s="200">
        <v>27.0</v>
      </c>
      <c r="G45" s="200">
        <v>37.0</v>
      </c>
      <c r="H45" s="482">
        <v>48.0</v>
      </c>
      <c r="I45" s="291"/>
      <c r="J45" s="200">
        <v>32.0</v>
      </c>
      <c r="K45" s="200">
        <v>24.0</v>
      </c>
      <c r="L45" s="200">
        <v>25.0</v>
      </c>
      <c r="M45" s="200">
        <v>10.0</v>
      </c>
      <c r="N45" s="133">
        <v>23.0</v>
      </c>
      <c r="O45" s="133">
        <v>32.0</v>
      </c>
      <c r="P45" s="133">
        <v>10.0</v>
      </c>
      <c r="Q45" s="508">
        <v>41.0</v>
      </c>
      <c r="R45" s="133">
        <v>33.0</v>
      </c>
      <c r="S45" s="133">
        <v>26.0</v>
      </c>
      <c r="T45" s="135"/>
      <c r="U45" s="130"/>
      <c r="V45" s="130"/>
      <c r="W45" s="130"/>
      <c r="X45" s="130"/>
      <c r="Y45" s="130"/>
      <c r="Z45" s="130"/>
      <c r="AA45" s="130"/>
      <c r="AB45" s="130"/>
      <c r="AC45" s="130"/>
      <c r="AD45" s="130"/>
      <c r="AE45" s="130"/>
      <c r="AF45" s="130"/>
      <c r="AG45" s="130"/>
      <c r="AH45" s="130"/>
      <c r="AI45" s="130"/>
      <c r="AJ45" s="130"/>
      <c r="AK45" s="130"/>
      <c r="AL45" s="130"/>
      <c r="AM45" s="130"/>
      <c r="AN45" s="130"/>
    </row>
    <row r="46">
      <c r="A46" s="131" t="s">
        <v>760</v>
      </c>
      <c r="B46" s="137">
        <v>20.0</v>
      </c>
      <c r="C46" s="200">
        <v>16.0</v>
      </c>
      <c r="D46" s="200">
        <v>16.0</v>
      </c>
      <c r="E46" s="200">
        <v>14.0</v>
      </c>
      <c r="F46" s="200">
        <v>22.0</v>
      </c>
      <c r="G46" s="200">
        <v>24.0</v>
      </c>
      <c r="H46" s="482">
        <v>10.0</v>
      </c>
      <c r="I46" s="200"/>
      <c r="J46" s="200">
        <v>27.0</v>
      </c>
      <c r="K46" s="200">
        <v>11.0</v>
      </c>
      <c r="L46" s="200">
        <v>17.0</v>
      </c>
      <c r="M46" s="200" t="s">
        <v>59</v>
      </c>
      <c r="N46" s="133">
        <v>11.0</v>
      </c>
      <c r="O46" s="133">
        <v>14.0</v>
      </c>
      <c r="P46" s="133">
        <v>12.0</v>
      </c>
      <c r="Q46" s="508">
        <v>19.0</v>
      </c>
      <c r="R46" s="133">
        <v>7.0</v>
      </c>
      <c r="S46" s="133">
        <v>13.0</v>
      </c>
      <c r="T46" s="135"/>
      <c r="U46" s="130"/>
      <c r="V46" s="130"/>
      <c r="W46" s="130"/>
      <c r="X46" s="130"/>
      <c r="Y46" s="130"/>
      <c r="Z46" s="130"/>
      <c r="AA46" s="130"/>
      <c r="AB46" s="130"/>
      <c r="AC46" s="130"/>
      <c r="AD46" s="130"/>
      <c r="AE46" s="130"/>
      <c r="AF46" s="130"/>
      <c r="AG46" s="130"/>
      <c r="AH46" s="130"/>
      <c r="AI46" s="130"/>
      <c r="AJ46" s="130"/>
      <c r="AK46" s="130"/>
      <c r="AL46" s="130"/>
      <c r="AM46" s="130"/>
      <c r="AN46" s="130"/>
    </row>
    <row r="47">
      <c r="A47" s="131" t="s">
        <v>814</v>
      </c>
      <c r="B47" s="137">
        <v>25.0</v>
      </c>
      <c r="C47" s="200">
        <v>34.0</v>
      </c>
      <c r="D47" s="200">
        <v>33.0</v>
      </c>
      <c r="E47" s="200">
        <v>31.0</v>
      </c>
      <c r="F47" s="200">
        <v>26.0</v>
      </c>
      <c r="G47" s="200">
        <v>34.0</v>
      </c>
      <c r="H47" s="482">
        <v>50.0</v>
      </c>
      <c r="I47" s="200"/>
      <c r="J47" s="482">
        <v>28.0</v>
      </c>
      <c r="K47" s="200">
        <v>34.0</v>
      </c>
      <c r="L47" s="200">
        <v>33.0</v>
      </c>
      <c r="M47" s="200">
        <v>11.0</v>
      </c>
      <c r="N47" s="133">
        <v>27.0</v>
      </c>
      <c r="O47" s="133">
        <v>13.0</v>
      </c>
      <c r="P47" s="133">
        <v>24.0</v>
      </c>
      <c r="Q47" s="508">
        <v>62.0</v>
      </c>
      <c r="R47" s="133">
        <v>31.0</v>
      </c>
      <c r="S47" s="133">
        <v>34.0</v>
      </c>
      <c r="T47" s="134"/>
      <c r="U47" s="133"/>
      <c r="V47" s="133"/>
      <c r="W47" s="133"/>
      <c r="X47" s="133"/>
      <c r="Y47" s="133"/>
      <c r="Z47" s="133"/>
      <c r="AA47" s="130"/>
      <c r="AB47" s="130"/>
      <c r="AC47" s="130"/>
      <c r="AD47" s="130"/>
      <c r="AE47" s="130"/>
      <c r="AF47" s="130"/>
      <c r="AG47" s="130"/>
      <c r="AH47" s="130"/>
      <c r="AI47" s="130"/>
      <c r="AJ47" s="130"/>
      <c r="AK47" s="130"/>
      <c r="AL47" s="130"/>
      <c r="AM47" s="130"/>
      <c r="AN47" s="130"/>
    </row>
    <row r="48">
      <c r="A48" s="131" t="s">
        <v>815</v>
      </c>
      <c r="B48" s="485" t="s">
        <v>59</v>
      </c>
      <c r="C48" s="485" t="s">
        <v>59</v>
      </c>
      <c r="D48" s="485" t="s">
        <v>59</v>
      </c>
      <c r="E48" s="485" t="s">
        <v>59</v>
      </c>
      <c r="F48" s="485" t="s">
        <v>59</v>
      </c>
      <c r="G48" s="485" t="s">
        <v>59</v>
      </c>
      <c r="H48" s="136" t="s">
        <v>59</v>
      </c>
      <c r="I48" s="200"/>
      <c r="J48" s="482">
        <v>5.0</v>
      </c>
      <c r="K48" s="200">
        <v>3.0</v>
      </c>
      <c r="L48" s="200">
        <v>10.0</v>
      </c>
      <c r="M48" s="200" t="s">
        <v>59</v>
      </c>
      <c r="N48" s="133">
        <v>8.0</v>
      </c>
      <c r="O48" s="133">
        <v>9.0</v>
      </c>
      <c r="P48" s="133">
        <v>10.0</v>
      </c>
      <c r="Q48" s="508">
        <v>25.0</v>
      </c>
      <c r="R48" s="133">
        <v>16.0</v>
      </c>
      <c r="S48" s="133">
        <v>26.0</v>
      </c>
      <c r="T48" s="134"/>
      <c r="U48" s="133"/>
      <c r="V48" s="133"/>
      <c r="W48" s="133"/>
      <c r="X48" s="133"/>
      <c r="Y48" s="133"/>
      <c r="Z48" s="133"/>
      <c r="AA48" s="130"/>
      <c r="AB48" s="130"/>
      <c r="AC48" s="130"/>
      <c r="AD48" s="130"/>
      <c r="AE48" s="130"/>
      <c r="AF48" s="130"/>
      <c r="AG48" s="130"/>
      <c r="AH48" s="130"/>
      <c r="AI48" s="130"/>
      <c r="AJ48" s="130"/>
      <c r="AK48" s="130"/>
      <c r="AL48" s="130"/>
      <c r="AM48" s="130"/>
      <c r="AN48" s="130"/>
    </row>
    <row r="49">
      <c r="A49" s="131" t="s">
        <v>816</v>
      </c>
      <c r="B49" s="137">
        <v>21.0</v>
      </c>
      <c r="C49" s="200">
        <v>17.0</v>
      </c>
      <c r="D49" s="200">
        <v>16.0</v>
      </c>
      <c r="E49" s="200">
        <v>23.0</v>
      </c>
      <c r="F49" s="200">
        <v>13.0</v>
      </c>
      <c r="G49" s="200">
        <v>21.0</v>
      </c>
      <c r="H49" s="482">
        <v>15.0</v>
      </c>
      <c r="I49" s="200"/>
      <c r="J49" s="200">
        <v>17.0</v>
      </c>
      <c r="K49" s="200">
        <v>11.0</v>
      </c>
      <c r="L49" s="200">
        <v>7.0</v>
      </c>
      <c r="M49" s="200">
        <v>8.0</v>
      </c>
      <c r="N49" s="133">
        <v>13.0</v>
      </c>
      <c r="O49" s="133">
        <v>3.0</v>
      </c>
      <c r="P49" s="133">
        <v>7.0</v>
      </c>
      <c r="Q49" s="508">
        <v>22.0</v>
      </c>
      <c r="R49" s="133">
        <v>9.0</v>
      </c>
      <c r="S49" s="133">
        <v>19.0</v>
      </c>
      <c r="T49" s="134"/>
      <c r="U49" s="133"/>
      <c r="V49" s="133"/>
      <c r="W49" s="133"/>
      <c r="X49" s="133"/>
      <c r="Y49" s="133"/>
      <c r="Z49" s="133"/>
      <c r="AA49" s="130"/>
      <c r="AB49" s="130"/>
      <c r="AC49" s="130"/>
      <c r="AD49" s="130"/>
      <c r="AE49" s="130"/>
      <c r="AF49" s="130"/>
      <c r="AG49" s="130"/>
      <c r="AH49" s="130"/>
      <c r="AI49" s="130"/>
      <c r="AJ49" s="130"/>
      <c r="AK49" s="130"/>
      <c r="AL49" s="130"/>
      <c r="AM49" s="130"/>
      <c r="AN49" s="130"/>
    </row>
    <row r="50">
      <c r="A50" s="131" t="s">
        <v>817</v>
      </c>
      <c r="B50" s="136" t="s">
        <v>59</v>
      </c>
      <c r="C50" s="136" t="s">
        <v>59</v>
      </c>
      <c r="D50" s="136" t="s">
        <v>59</v>
      </c>
      <c r="E50" s="136" t="s">
        <v>59</v>
      </c>
      <c r="F50" s="136" t="s">
        <v>59</v>
      </c>
      <c r="G50" s="136" t="s">
        <v>59</v>
      </c>
      <c r="H50" s="136" t="s">
        <v>59</v>
      </c>
      <c r="I50" s="200"/>
      <c r="J50" s="200">
        <v>4.0</v>
      </c>
      <c r="K50" s="200">
        <v>5.0</v>
      </c>
      <c r="L50" s="200">
        <v>5.0</v>
      </c>
      <c r="M50" s="200">
        <v>0.0</v>
      </c>
      <c r="N50" s="133">
        <v>3.0</v>
      </c>
      <c r="O50" s="133">
        <v>1.0</v>
      </c>
      <c r="P50" s="133">
        <v>1.0</v>
      </c>
      <c r="Q50" s="508">
        <v>3.0</v>
      </c>
      <c r="R50" s="133">
        <v>2.0</v>
      </c>
      <c r="S50" s="133">
        <v>6.0</v>
      </c>
      <c r="T50" s="134"/>
      <c r="U50" s="133"/>
      <c r="V50" s="133"/>
      <c r="W50" s="133"/>
      <c r="X50" s="133"/>
      <c r="Y50" s="133"/>
      <c r="Z50" s="133"/>
      <c r="AA50" s="130"/>
      <c r="AB50" s="130"/>
      <c r="AC50" s="130"/>
      <c r="AD50" s="130"/>
      <c r="AE50" s="130"/>
      <c r="AF50" s="130"/>
      <c r="AG50" s="130"/>
      <c r="AH50" s="130"/>
      <c r="AI50" s="130"/>
      <c r="AJ50" s="130"/>
      <c r="AK50" s="130"/>
      <c r="AL50" s="130"/>
      <c r="AM50" s="130"/>
      <c r="AN50" s="130"/>
    </row>
    <row r="51">
      <c r="A51" s="126" t="s">
        <v>225</v>
      </c>
      <c r="B51" s="410"/>
      <c r="C51" s="403"/>
      <c r="D51" s="403"/>
      <c r="E51" s="403"/>
      <c r="F51" s="403"/>
      <c r="G51" s="403"/>
      <c r="H51" s="403"/>
      <c r="I51" s="403"/>
      <c r="J51" s="403"/>
      <c r="K51" s="403"/>
      <c r="L51" s="403"/>
      <c r="M51" s="403"/>
      <c r="N51" s="403"/>
      <c r="O51" s="403"/>
      <c r="P51" s="403"/>
      <c r="Q51" s="403"/>
      <c r="R51" s="403"/>
      <c r="S51" s="403"/>
      <c r="T51" s="403"/>
      <c r="U51" s="403"/>
      <c r="V51" s="411"/>
      <c r="W51" s="403"/>
      <c r="X51" s="403"/>
      <c r="Y51" s="403"/>
      <c r="Z51" s="403"/>
      <c r="AA51" s="403"/>
      <c r="AB51" s="403"/>
      <c r="AC51" s="403"/>
      <c r="AD51" s="403"/>
      <c r="AE51" s="403"/>
      <c r="AF51" s="403"/>
      <c r="AG51" s="403"/>
      <c r="AH51" s="403"/>
      <c r="AI51" s="403"/>
      <c r="AJ51" s="403"/>
      <c r="AK51" s="403"/>
      <c r="AL51" s="403"/>
      <c r="AM51" s="403"/>
      <c r="AN51" s="403"/>
    </row>
    <row r="52">
      <c r="B52" s="138"/>
      <c r="T52" s="31"/>
    </row>
    <row r="53">
      <c r="B53" s="138"/>
      <c r="T53" s="31"/>
    </row>
    <row r="54">
      <c r="B54" s="138"/>
      <c r="T54" s="31"/>
    </row>
    <row r="55">
      <c r="B55" s="138"/>
      <c r="T55" s="31"/>
    </row>
    <row r="56">
      <c r="B56" s="138"/>
      <c r="T56" s="31"/>
    </row>
    <row r="57">
      <c r="B57" s="138"/>
      <c r="T57" s="31"/>
    </row>
    <row r="58">
      <c r="B58" s="138"/>
      <c r="T58" s="31"/>
    </row>
    <row r="59">
      <c r="B59" s="138"/>
      <c r="T59" s="31"/>
    </row>
    <row r="60">
      <c r="B60" s="138"/>
      <c r="T60" s="31"/>
    </row>
    <row r="61">
      <c r="B61" s="138"/>
      <c r="T61" s="31"/>
    </row>
    <row r="62">
      <c r="B62" s="138"/>
      <c r="T62" s="31"/>
    </row>
    <row r="63">
      <c r="B63" s="138"/>
      <c r="T63" s="31"/>
    </row>
    <row r="64">
      <c r="B64" s="138"/>
      <c r="T64" s="31"/>
    </row>
    <row r="65">
      <c r="B65" s="138"/>
      <c r="T65" s="31"/>
    </row>
    <row r="66">
      <c r="B66" s="138"/>
      <c r="T66" s="31"/>
    </row>
    <row r="67">
      <c r="B67" s="138"/>
      <c r="T67" s="31"/>
    </row>
    <row r="68">
      <c r="B68" s="138"/>
      <c r="T68" s="31"/>
    </row>
    <row r="69">
      <c r="B69" s="138"/>
      <c r="T69" s="31"/>
    </row>
    <row r="70">
      <c r="B70" s="138"/>
      <c r="T70" s="31"/>
    </row>
    <row r="71">
      <c r="B71" s="138"/>
      <c r="T71" s="31"/>
    </row>
    <row r="72">
      <c r="B72" s="138"/>
      <c r="T72" s="31"/>
    </row>
    <row r="73">
      <c r="B73" s="138"/>
      <c r="T73" s="31"/>
    </row>
    <row r="74">
      <c r="B74" s="138"/>
      <c r="T74" s="31"/>
    </row>
    <row r="75">
      <c r="B75" s="138"/>
      <c r="T75" s="31"/>
    </row>
    <row r="76">
      <c r="B76" s="138"/>
      <c r="T76" s="31"/>
    </row>
    <row r="77">
      <c r="B77" s="138"/>
      <c r="T77" s="31"/>
    </row>
    <row r="78">
      <c r="B78" s="138"/>
      <c r="T78" s="31"/>
    </row>
    <row r="79">
      <c r="B79" s="138"/>
      <c r="T79" s="31"/>
    </row>
    <row r="80">
      <c r="B80" s="138"/>
      <c r="T80" s="31"/>
    </row>
    <row r="81">
      <c r="B81" s="138"/>
      <c r="T81" s="31"/>
    </row>
    <row r="82">
      <c r="B82" s="138"/>
      <c r="T82" s="31"/>
    </row>
    <row r="83">
      <c r="B83" s="138"/>
      <c r="T83" s="31"/>
    </row>
    <row r="84">
      <c r="B84" s="138"/>
      <c r="T84" s="31"/>
    </row>
    <row r="85">
      <c r="B85" s="138"/>
      <c r="T85" s="31"/>
    </row>
    <row r="86">
      <c r="B86" s="138"/>
      <c r="T86" s="31"/>
    </row>
    <row r="87">
      <c r="B87" s="138"/>
      <c r="T87" s="31"/>
    </row>
    <row r="88">
      <c r="B88" s="138"/>
      <c r="T88" s="31"/>
    </row>
    <row r="89">
      <c r="B89" s="138"/>
      <c r="T89" s="31"/>
    </row>
    <row r="90">
      <c r="B90" s="138"/>
      <c r="T90" s="31"/>
    </row>
    <row r="91">
      <c r="B91" s="138"/>
      <c r="T91" s="31"/>
    </row>
    <row r="92">
      <c r="B92" s="138"/>
      <c r="T92" s="31"/>
    </row>
    <row r="93">
      <c r="B93" s="138"/>
      <c r="T93" s="31"/>
    </row>
    <row r="94">
      <c r="B94" s="138"/>
      <c r="T94" s="31"/>
    </row>
    <row r="95">
      <c r="B95" s="138"/>
      <c r="T95" s="31"/>
    </row>
    <row r="96">
      <c r="B96" s="138"/>
      <c r="T96" s="31"/>
    </row>
    <row r="97">
      <c r="B97" s="138"/>
      <c r="T97" s="31"/>
    </row>
    <row r="98">
      <c r="B98" s="138"/>
      <c r="T98" s="31"/>
    </row>
    <row r="99">
      <c r="B99" s="138"/>
      <c r="T99" s="31"/>
    </row>
    <row r="100">
      <c r="B100" s="138"/>
      <c r="T100" s="31"/>
    </row>
    <row r="101">
      <c r="B101" s="138"/>
      <c r="T101" s="31"/>
    </row>
    <row r="102">
      <c r="B102" s="138"/>
      <c r="T102" s="31"/>
    </row>
    <row r="103">
      <c r="B103" s="138"/>
      <c r="T103" s="31"/>
    </row>
    <row r="104">
      <c r="B104" s="138"/>
      <c r="T104" s="31"/>
    </row>
    <row r="105">
      <c r="B105" s="138"/>
      <c r="T105" s="31"/>
    </row>
    <row r="106">
      <c r="B106" s="138"/>
      <c r="T106" s="31"/>
    </row>
    <row r="107">
      <c r="B107" s="138"/>
      <c r="T107" s="31"/>
    </row>
    <row r="108">
      <c r="B108" s="138"/>
      <c r="T108" s="31"/>
    </row>
    <row r="109">
      <c r="B109" s="138"/>
      <c r="T109" s="31"/>
    </row>
    <row r="110">
      <c r="B110" s="138"/>
      <c r="T110" s="31"/>
    </row>
    <row r="111">
      <c r="B111" s="138"/>
      <c r="T111" s="31"/>
    </row>
    <row r="112">
      <c r="B112" s="138"/>
      <c r="T112" s="31"/>
    </row>
    <row r="113">
      <c r="B113" s="138"/>
      <c r="T113" s="31"/>
    </row>
    <row r="114">
      <c r="B114" s="138"/>
      <c r="T114" s="31"/>
    </row>
    <row r="115">
      <c r="B115" s="138"/>
      <c r="T115" s="31"/>
    </row>
    <row r="116">
      <c r="B116" s="138"/>
      <c r="T116" s="31"/>
    </row>
    <row r="117">
      <c r="B117" s="138"/>
      <c r="T117" s="31"/>
    </row>
    <row r="118">
      <c r="B118" s="138"/>
      <c r="T118" s="31"/>
    </row>
    <row r="119">
      <c r="B119" s="138"/>
      <c r="T119" s="31"/>
    </row>
    <row r="120">
      <c r="B120" s="138"/>
      <c r="T120" s="31"/>
    </row>
    <row r="121">
      <c r="B121" s="138"/>
      <c r="T121" s="31"/>
    </row>
    <row r="122">
      <c r="B122" s="138"/>
      <c r="T122" s="31"/>
    </row>
    <row r="123">
      <c r="B123" s="138"/>
      <c r="T123" s="31"/>
    </row>
    <row r="124">
      <c r="B124" s="138"/>
      <c r="T124" s="31"/>
    </row>
    <row r="125">
      <c r="B125" s="138"/>
      <c r="T125" s="31"/>
    </row>
    <row r="126">
      <c r="B126" s="138"/>
      <c r="T126" s="31"/>
    </row>
    <row r="127">
      <c r="B127" s="138"/>
      <c r="T127" s="31"/>
    </row>
    <row r="128">
      <c r="B128" s="138"/>
      <c r="T128" s="31"/>
    </row>
    <row r="129">
      <c r="B129" s="138"/>
      <c r="T129" s="31"/>
    </row>
    <row r="130">
      <c r="B130" s="138"/>
      <c r="T130" s="31"/>
    </row>
    <row r="131">
      <c r="B131" s="138"/>
      <c r="T131" s="31"/>
    </row>
    <row r="132">
      <c r="B132" s="138"/>
      <c r="T132" s="31"/>
    </row>
    <row r="133">
      <c r="B133" s="138"/>
      <c r="T133" s="31"/>
    </row>
    <row r="134">
      <c r="B134" s="138"/>
      <c r="T134" s="31"/>
    </row>
    <row r="135">
      <c r="B135" s="138"/>
      <c r="T135" s="31"/>
    </row>
    <row r="136">
      <c r="B136" s="138"/>
      <c r="T136" s="31"/>
    </row>
    <row r="137">
      <c r="B137" s="138"/>
      <c r="T137" s="31"/>
    </row>
    <row r="138">
      <c r="B138" s="138"/>
      <c r="T138" s="31"/>
    </row>
    <row r="139">
      <c r="B139" s="138"/>
      <c r="T139" s="31"/>
    </row>
    <row r="140">
      <c r="B140" s="138"/>
      <c r="T140" s="31"/>
    </row>
    <row r="141">
      <c r="B141" s="138"/>
      <c r="T141" s="31"/>
    </row>
    <row r="142">
      <c r="B142" s="138"/>
      <c r="T142" s="31"/>
    </row>
    <row r="143">
      <c r="B143" s="138"/>
      <c r="T143" s="31"/>
    </row>
    <row r="144">
      <c r="B144" s="138"/>
      <c r="T144" s="31"/>
    </row>
    <row r="145">
      <c r="B145" s="138"/>
      <c r="T145" s="31"/>
    </row>
    <row r="146">
      <c r="B146" s="138"/>
      <c r="T146" s="31"/>
    </row>
    <row r="147">
      <c r="B147" s="138"/>
      <c r="T147" s="31"/>
    </row>
    <row r="148">
      <c r="B148" s="138"/>
      <c r="T148" s="31"/>
    </row>
    <row r="149">
      <c r="B149" s="138"/>
      <c r="T149" s="31"/>
    </row>
    <row r="150">
      <c r="B150" s="138"/>
      <c r="T150" s="31"/>
    </row>
    <row r="151">
      <c r="B151" s="138"/>
      <c r="T151" s="31"/>
    </row>
    <row r="152">
      <c r="B152" s="138"/>
      <c r="T152" s="31"/>
    </row>
    <row r="153">
      <c r="B153" s="138"/>
      <c r="T153" s="31"/>
    </row>
    <row r="154">
      <c r="B154" s="138"/>
      <c r="T154" s="31"/>
    </row>
    <row r="155">
      <c r="B155" s="138"/>
      <c r="T155" s="31"/>
    </row>
    <row r="156">
      <c r="B156" s="138"/>
      <c r="T156" s="31"/>
    </row>
    <row r="157">
      <c r="B157" s="138"/>
      <c r="T157" s="31"/>
    </row>
    <row r="158">
      <c r="B158" s="138"/>
      <c r="T158" s="31"/>
    </row>
    <row r="159">
      <c r="B159" s="138"/>
      <c r="T159" s="31"/>
    </row>
    <row r="160">
      <c r="B160" s="138"/>
      <c r="T160" s="31"/>
    </row>
    <row r="161">
      <c r="B161" s="138"/>
      <c r="T161" s="31"/>
    </row>
    <row r="162">
      <c r="B162" s="138"/>
      <c r="T162" s="31"/>
    </row>
    <row r="163">
      <c r="B163" s="138"/>
      <c r="T163" s="31"/>
    </row>
    <row r="164">
      <c r="B164" s="138"/>
      <c r="T164" s="31"/>
    </row>
    <row r="165">
      <c r="B165" s="138"/>
      <c r="T165" s="31"/>
    </row>
    <row r="166">
      <c r="B166" s="138"/>
      <c r="T166" s="31"/>
    </row>
    <row r="167">
      <c r="B167" s="138"/>
      <c r="T167" s="31"/>
    </row>
    <row r="168">
      <c r="B168" s="138"/>
      <c r="T168" s="31"/>
    </row>
    <row r="169">
      <c r="B169" s="138"/>
      <c r="T169" s="31"/>
    </row>
    <row r="170">
      <c r="B170" s="138"/>
      <c r="T170" s="31"/>
    </row>
    <row r="171">
      <c r="B171" s="138"/>
      <c r="T171" s="31"/>
    </row>
    <row r="172">
      <c r="B172" s="138"/>
      <c r="T172" s="31"/>
    </row>
    <row r="173">
      <c r="B173" s="138"/>
      <c r="T173" s="31"/>
    </row>
    <row r="174">
      <c r="B174" s="138"/>
      <c r="T174" s="31"/>
    </row>
    <row r="175">
      <c r="B175" s="138"/>
      <c r="T175" s="31"/>
    </row>
    <row r="176">
      <c r="B176" s="138"/>
      <c r="T176" s="31"/>
    </row>
    <row r="177">
      <c r="B177" s="138"/>
      <c r="T177" s="31"/>
    </row>
    <row r="178">
      <c r="B178" s="138"/>
      <c r="T178" s="31"/>
    </row>
    <row r="179">
      <c r="B179" s="138"/>
      <c r="T179" s="31"/>
    </row>
    <row r="180">
      <c r="B180" s="138"/>
      <c r="T180" s="31"/>
    </row>
    <row r="181">
      <c r="B181" s="138"/>
      <c r="T181" s="31"/>
    </row>
    <row r="182">
      <c r="B182" s="138"/>
      <c r="T182" s="31"/>
    </row>
    <row r="183">
      <c r="B183" s="138"/>
      <c r="T183" s="31"/>
    </row>
    <row r="184">
      <c r="B184" s="138"/>
      <c r="T184" s="31"/>
    </row>
    <row r="185">
      <c r="B185" s="138"/>
      <c r="T185" s="31"/>
    </row>
    <row r="186">
      <c r="B186" s="138"/>
      <c r="T186" s="31"/>
    </row>
    <row r="187">
      <c r="B187" s="138"/>
      <c r="T187" s="31"/>
    </row>
    <row r="188">
      <c r="B188" s="138"/>
      <c r="T188" s="31"/>
    </row>
    <row r="189">
      <c r="B189" s="138"/>
      <c r="T189" s="31"/>
    </row>
    <row r="190">
      <c r="B190" s="138"/>
      <c r="T190" s="31"/>
    </row>
    <row r="191">
      <c r="B191" s="138"/>
      <c r="T191" s="31"/>
    </row>
    <row r="192">
      <c r="B192" s="138"/>
      <c r="T192" s="31"/>
    </row>
    <row r="193">
      <c r="B193" s="138"/>
      <c r="T193" s="31"/>
    </row>
    <row r="194">
      <c r="B194" s="138"/>
      <c r="T194" s="31"/>
    </row>
    <row r="195">
      <c r="B195" s="138"/>
      <c r="T195" s="31"/>
    </row>
    <row r="196">
      <c r="B196" s="138"/>
      <c r="T196" s="31"/>
    </row>
    <row r="197">
      <c r="B197" s="138"/>
      <c r="T197" s="31"/>
    </row>
    <row r="198">
      <c r="B198" s="138"/>
      <c r="T198" s="31"/>
    </row>
    <row r="199">
      <c r="B199" s="138"/>
      <c r="T199" s="31"/>
    </row>
    <row r="200">
      <c r="B200" s="138"/>
      <c r="T200" s="31"/>
    </row>
    <row r="201">
      <c r="B201" s="138"/>
      <c r="T201" s="31"/>
    </row>
    <row r="202">
      <c r="B202" s="138"/>
      <c r="T202" s="31"/>
    </row>
    <row r="203">
      <c r="B203" s="138"/>
      <c r="T203" s="31"/>
    </row>
    <row r="204">
      <c r="B204" s="138"/>
      <c r="T204" s="31"/>
    </row>
    <row r="205">
      <c r="B205" s="138"/>
      <c r="T205" s="31"/>
    </row>
    <row r="206">
      <c r="B206" s="138"/>
      <c r="T206" s="31"/>
    </row>
    <row r="207">
      <c r="B207" s="138"/>
      <c r="T207" s="31"/>
    </row>
    <row r="208">
      <c r="B208" s="138"/>
      <c r="T208" s="31"/>
    </row>
    <row r="209">
      <c r="B209" s="138"/>
      <c r="T209" s="31"/>
    </row>
    <row r="210">
      <c r="B210" s="138"/>
      <c r="T210" s="31"/>
    </row>
    <row r="211">
      <c r="B211" s="138"/>
      <c r="T211" s="31"/>
    </row>
    <row r="212">
      <c r="B212" s="138"/>
      <c r="T212" s="31"/>
    </row>
    <row r="213">
      <c r="B213" s="138"/>
      <c r="T213" s="31"/>
    </row>
    <row r="214">
      <c r="B214" s="138"/>
      <c r="T214" s="31"/>
    </row>
    <row r="215">
      <c r="B215" s="138"/>
      <c r="T215" s="31"/>
    </row>
    <row r="216">
      <c r="B216" s="138"/>
      <c r="T216" s="31"/>
    </row>
    <row r="217">
      <c r="B217" s="138"/>
      <c r="T217" s="31"/>
    </row>
    <row r="218">
      <c r="B218" s="138"/>
      <c r="T218" s="31"/>
    </row>
    <row r="219">
      <c r="B219" s="138"/>
      <c r="T219" s="31"/>
    </row>
    <row r="220">
      <c r="B220" s="138"/>
      <c r="T220" s="31"/>
    </row>
    <row r="221">
      <c r="B221" s="138"/>
      <c r="T221" s="31"/>
    </row>
    <row r="222">
      <c r="B222" s="138"/>
      <c r="T222" s="31"/>
    </row>
    <row r="223">
      <c r="B223" s="138"/>
      <c r="T223" s="31"/>
    </row>
    <row r="224">
      <c r="B224" s="138"/>
      <c r="T224" s="31"/>
    </row>
    <row r="225">
      <c r="B225" s="138"/>
      <c r="T225" s="31"/>
    </row>
    <row r="226">
      <c r="B226" s="138"/>
      <c r="T226" s="31"/>
    </row>
    <row r="227">
      <c r="B227" s="138"/>
      <c r="T227" s="31"/>
    </row>
    <row r="228">
      <c r="B228" s="138"/>
      <c r="T228" s="31"/>
    </row>
    <row r="229">
      <c r="B229" s="138"/>
      <c r="T229" s="31"/>
    </row>
    <row r="230">
      <c r="B230" s="138"/>
      <c r="T230" s="31"/>
    </row>
    <row r="231">
      <c r="B231" s="138"/>
      <c r="T231" s="31"/>
    </row>
    <row r="232">
      <c r="B232" s="138"/>
      <c r="T232" s="31"/>
    </row>
    <row r="233">
      <c r="B233" s="138"/>
      <c r="T233" s="31"/>
    </row>
    <row r="234">
      <c r="B234" s="138"/>
      <c r="T234" s="31"/>
    </row>
    <row r="235">
      <c r="B235" s="138"/>
      <c r="T235" s="31"/>
    </row>
    <row r="236">
      <c r="B236" s="138"/>
      <c r="T236" s="31"/>
    </row>
    <row r="237">
      <c r="B237" s="138"/>
      <c r="T237" s="31"/>
    </row>
    <row r="238">
      <c r="B238" s="138"/>
      <c r="T238" s="31"/>
    </row>
    <row r="239">
      <c r="B239" s="138"/>
      <c r="T239" s="31"/>
    </row>
    <row r="240">
      <c r="B240" s="138"/>
      <c r="T240" s="31"/>
    </row>
    <row r="241">
      <c r="B241" s="138"/>
      <c r="T241" s="31"/>
    </row>
    <row r="242">
      <c r="B242" s="138"/>
      <c r="T242" s="31"/>
    </row>
    <row r="243">
      <c r="B243" s="138"/>
      <c r="T243" s="31"/>
    </row>
    <row r="244">
      <c r="B244" s="138"/>
      <c r="T244" s="31"/>
    </row>
    <row r="245">
      <c r="B245" s="138"/>
      <c r="T245" s="31"/>
    </row>
    <row r="246">
      <c r="B246" s="138"/>
      <c r="T246" s="31"/>
    </row>
    <row r="247">
      <c r="B247" s="138"/>
      <c r="T247" s="31"/>
    </row>
    <row r="248">
      <c r="B248" s="138"/>
      <c r="T248" s="31"/>
    </row>
    <row r="249">
      <c r="B249" s="138"/>
      <c r="T249" s="31"/>
    </row>
    <row r="250">
      <c r="B250" s="138"/>
      <c r="T250" s="31"/>
    </row>
    <row r="251">
      <c r="B251" s="138"/>
      <c r="T251" s="31"/>
    </row>
    <row r="252">
      <c r="B252" s="138"/>
      <c r="T252" s="31"/>
    </row>
    <row r="253">
      <c r="B253" s="138"/>
      <c r="T253" s="31"/>
    </row>
    <row r="254">
      <c r="B254" s="138"/>
      <c r="T254" s="31"/>
    </row>
    <row r="255">
      <c r="B255" s="138"/>
      <c r="T255" s="31"/>
    </row>
    <row r="256">
      <c r="B256" s="138"/>
      <c r="T256" s="31"/>
    </row>
    <row r="257">
      <c r="B257" s="138"/>
      <c r="T257" s="31"/>
    </row>
    <row r="258">
      <c r="B258" s="138"/>
      <c r="T258" s="31"/>
    </row>
    <row r="259">
      <c r="B259" s="138"/>
      <c r="T259" s="31"/>
    </row>
    <row r="260">
      <c r="B260" s="138"/>
      <c r="T260" s="31"/>
    </row>
    <row r="261">
      <c r="B261" s="138"/>
      <c r="T261" s="31"/>
    </row>
    <row r="262">
      <c r="B262" s="138"/>
      <c r="T262" s="31"/>
    </row>
    <row r="263">
      <c r="B263" s="138"/>
      <c r="T263" s="31"/>
    </row>
    <row r="264">
      <c r="B264" s="138"/>
      <c r="T264" s="31"/>
    </row>
    <row r="265">
      <c r="B265" s="138"/>
      <c r="T265" s="31"/>
    </row>
    <row r="266">
      <c r="B266" s="138"/>
      <c r="T266" s="31"/>
    </row>
    <row r="267">
      <c r="B267" s="138"/>
      <c r="T267" s="31"/>
    </row>
    <row r="268">
      <c r="B268" s="138"/>
      <c r="T268" s="31"/>
    </row>
    <row r="269">
      <c r="B269" s="138"/>
      <c r="T269" s="31"/>
    </row>
    <row r="270">
      <c r="B270" s="138"/>
      <c r="T270" s="31"/>
    </row>
    <row r="271">
      <c r="B271" s="138"/>
      <c r="T271" s="31"/>
    </row>
    <row r="272">
      <c r="B272" s="138"/>
      <c r="T272" s="31"/>
    </row>
    <row r="273">
      <c r="B273" s="138"/>
      <c r="T273" s="31"/>
    </row>
    <row r="274">
      <c r="B274" s="138"/>
      <c r="T274" s="31"/>
    </row>
    <row r="275">
      <c r="B275" s="138"/>
      <c r="T275" s="31"/>
    </row>
    <row r="276">
      <c r="B276" s="138"/>
      <c r="T276" s="31"/>
    </row>
    <row r="277">
      <c r="B277" s="138"/>
      <c r="T277" s="31"/>
    </row>
    <row r="278">
      <c r="B278" s="138"/>
      <c r="T278" s="31"/>
    </row>
    <row r="279">
      <c r="B279" s="138"/>
      <c r="T279" s="31"/>
    </row>
    <row r="280">
      <c r="B280" s="138"/>
      <c r="T280" s="31"/>
    </row>
    <row r="281">
      <c r="B281" s="138"/>
      <c r="T281" s="31"/>
    </row>
    <row r="282">
      <c r="B282" s="138"/>
      <c r="T282" s="31"/>
    </row>
    <row r="283">
      <c r="B283" s="138"/>
      <c r="T283" s="31"/>
    </row>
    <row r="284">
      <c r="B284" s="138"/>
      <c r="T284" s="31"/>
    </row>
    <row r="285">
      <c r="B285" s="138"/>
      <c r="T285" s="31"/>
    </row>
    <row r="286">
      <c r="B286" s="138"/>
      <c r="T286" s="31"/>
    </row>
    <row r="287">
      <c r="B287" s="138"/>
      <c r="T287" s="31"/>
    </row>
    <row r="288">
      <c r="B288" s="138"/>
      <c r="T288" s="31"/>
    </row>
    <row r="289">
      <c r="B289" s="138"/>
      <c r="T289" s="31"/>
    </row>
    <row r="290">
      <c r="B290" s="138"/>
      <c r="T290" s="31"/>
    </row>
    <row r="291">
      <c r="B291" s="138"/>
      <c r="T291" s="31"/>
    </row>
    <row r="292">
      <c r="B292" s="138"/>
      <c r="T292" s="31"/>
    </row>
    <row r="293">
      <c r="B293" s="138"/>
      <c r="T293" s="31"/>
    </row>
    <row r="294">
      <c r="B294" s="138"/>
      <c r="T294" s="31"/>
    </row>
    <row r="295">
      <c r="B295" s="138"/>
      <c r="T295" s="31"/>
    </row>
    <row r="296">
      <c r="B296" s="138"/>
      <c r="T296" s="31"/>
    </row>
    <row r="297">
      <c r="B297" s="138"/>
      <c r="T297" s="31"/>
    </row>
    <row r="298">
      <c r="B298" s="138"/>
      <c r="T298" s="31"/>
    </row>
    <row r="299">
      <c r="B299" s="138"/>
      <c r="T299" s="31"/>
    </row>
    <row r="300">
      <c r="B300" s="138"/>
      <c r="T300" s="31"/>
    </row>
    <row r="301">
      <c r="B301" s="138"/>
      <c r="T301" s="31"/>
    </row>
    <row r="302">
      <c r="B302" s="138"/>
      <c r="T302" s="31"/>
    </row>
    <row r="303">
      <c r="B303" s="138"/>
      <c r="T303" s="31"/>
    </row>
    <row r="304">
      <c r="B304" s="138"/>
      <c r="T304" s="31"/>
    </row>
    <row r="305">
      <c r="B305" s="138"/>
      <c r="T305" s="31"/>
    </row>
    <row r="306">
      <c r="B306" s="138"/>
      <c r="T306" s="31"/>
    </row>
    <row r="307">
      <c r="B307" s="138"/>
      <c r="T307" s="31"/>
    </row>
    <row r="308">
      <c r="B308" s="138"/>
      <c r="T308" s="31"/>
    </row>
    <row r="309">
      <c r="B309" s="138"/>
      <c r="T309" s="31"/>
    </row>
    <row r="310">
      <c r="B310" s="138"/>
      <c r="T310" s="31"/>
    </row>
    <row r="311">
      <c r="B311" s="138"/>
      <c r="T311" s="31"/>
    </row>
    <row r="312">
      <c r="B312" s="138"/>
      <c r="T312" s="31"/>
    </row>
    <row r="313">
      <c r="B313" s="138"/>
      <c r="T313" s="31"/>
    </row>
    <row r="314">
      <c r="B314" s="138"/>
      <c r="T314" s="31"/>
    </row>
    <row r="315">
      <c r="B315" s="138"/>
      <c r="T315" s="31"/>
    </row>
    <row r="316">
      <c r="B316" s="138"/>
      <c r="T316" s="31"/>
    </row>
    <row r="317">
      <c r="B317" s="138"/>
      <c r="T317" s="31"/>
    </row>
    <row r="318">
      <c r="B318" s="138"/>
      <c r="T318" s="31"/>
    </row>
    <row r="319">
      <c r="B319" s="138"/>
      <c r="T319" s="31"/>
    </row>
    <row r="320">
      <c r="B320" s="138"/>
      <c r="T320" s="31"/>
    </row>
    <row r="321">
      <c r="B321" s="138"/>
      <c r="T321" s="31"/>
    </row>
    <row r="322">
      <c r="B322" s="138"/>
      <c r="T322" s="31"/>
    </row>
    <row r="323">
      <c r="B323" s="138"/>
      <c r="T323" s="31"/>
    </row>
    <row r="324">
      <c r="B324" s="138"/>
      <c r="T324" s="31"/>
    </row>
    <row r="325">
      <c r="B325" s="138"/>
      <c r="T325" s="31"/>
    </row>
    <row r="326">
      <c r="B326" s="138"/>
      <c r="T326" s="31"/>
    </row>
    <row r="327">
      <c r="B327" s="138"/>
      <c r="T327" s="31"/>
    </row>
    <row r="328">
      <c r="B328" s="138"/>
      <c r="T328" s="31"/>
    </row>
    <row r="329">
      <c r="B329" s="138"/>
      <c r="T329" s="31"/>
    </row>
    <row r="330">
      <c r="B330" s="138"/>
      <c r="T330" s="31"/>
    </row>
    <row r="331">
      <c r="B331" s="138"/>
      <c r="T331" s="31"/>
    </row>
    <row r="332">
      <c r="B332" s="138"/>
      <c r="T332" s="31"/>
    </row>
    <row r="333">
      <c r="B333" s="138"/>
      <c r="T333" s="31"/>
    </row>
    <row r="334">
      <c r="B334" s="138"/>
      <c r="T334" s="31"/>
    </row>
    <row r="335">
      <c r="B335" s="138"/>
      <c r="T335" s="31"/>
    </row>
    <row r="336">
      <c r="B336" s="138"/>
      <c r="T336" s="31"/>
    </row>
    <row r="337">
      <c r="B337" s="138"/>
      <c r="T337" s="31"/>
    </row>
    <row r="338">
      <c r="B338" s="138"/>
      <c r="T338" s="31"/>
    </row>
    <row r="339">
      <c r="B339" s="138"/>
      <c r="T339" s="31"/>
    </row>
    <row r="340">
      <c r="B340" s="138"/>
      <c r="T340" s="31"/>
    </row>
    <row r="341">
      <c r="B341" s="138"/>
      <c r="T341" s="31"/>
    </row>
    <row r="342">
      <c r="B342" s="138"/>
      <c r="T342" s="31"/>
    </row>
    <row r="343">
      <c r="B343" s="138"/>
      <c r="T343" s="31"/>
    </row>
    <row r="344">
      <c r="B344" s="138"/>
      <c r="T344" s="31"/>
    </row>
    <row r="345">
      <c r="B345" s="138"/>
      <c r="T345" s="31"/>
    </row>
    <row r="346">
      <c r="B346" s="138"/>
      <c r="T346" s="31"/>
    </row>
    <row r="347">
      <c r="B347" s="138"/>
      <c r="T347" s="31"/>
    </row>
    <row r="348">
      <c r="B348" s="138"/>
      <c r="T348" s="31"/>
    </row>
    <row r="349">
      <c r="B349" s="138"/>
      <c r="T349" s="31"/>
    </row>
    <row r="350">
      <c r="B350" s="138"/>
      <c r="T350" s="31"/>
    </row>
    <row r="351">
      <c r="B351" s="138"/>
      <c r="T351" s="31"/>
    </row>
    <row r="352">
      <c r="B352" s="138"/>
      <c r="T352" s="31"/>
    </row>
    <row r="353">
      <c r="B353" s="138"/>
      <c r="T353" s="31"/>
    </row>
    <row r="354">
      <c r="B354" s="138"/>
      <c r="T354" s="31"/>
    </row>
    <row r="355">
      <c r="B355" s="138"/>
      <c r="T355" s="31"/>
    </row>
    <row r="356">
      <c r="B356" s="138"/>
      <c r="T356" s="31"/>
    </row>
    <row r="357">
      <c r="B357" s="138"/>
      <c r="T357" s="31"/>
    </row>
    <row r="358">
      <c r="B358" s="138"/>
      <c r="T358" s="31"/>
    </row>
    <row r="359">
      <c r="B359" s="138"/>
      <c r="T359" s="31"/>
    </row>
    <row r="360">
      <c r="B360" s="138"/>
      <c r="T360" s="31"/>
    </row>
    <row r="361">
      <c r="B361" s="138"/>
      <c r="T361" s="31"/>
    </row>
    <row r="362">
      <c r="B362" s="138"/>
      <c r="T362" s="31"/>
    </row>
    <row r="363">
      <c r="B363" s="138"/>
      <c r="T363" s="31"/>
    </row>
    <row r="364">
      <c r="B364" s="138"/>
      <c r="T364" s="31"/>
    </row>
    <row r="365">
      <c r="B365" s="138"/>
      <c r="T365" s="31"/>
    </row>
    <row r="366">
      <c r="B366" s="138"/>
      <c r="T366" s="31"/>
    </row>
    <row r="367">
      <c r="B367" s="138"/>
      <c r="T367" s="31"/>
    </row>
    <row r="368">
      <c r="B368" s="138"/>
      <c r="T368" s="31"/>
    </row>
    <row r="369">
      <c r="B369" s="138"/>
      <c r="T369" s="31"/>
    </row>
    <row r="370">
      <c r="B370" s="138"/>
      <c r="T370" s="31"/>
    </row>
    <row r="371">
      <c r="B371" s="138"/>
      <c r="T371" s="31"/>
    </row>
    <row r="372">
      <c r="B372" s="138"/>
      <c r="T372" s="31"/>
    </row>
    <row r="373">
      <c r="B373" s="138"/>
      <c r="T373" s="31"/>
    </row>
    <row r="374">
      <c r="B374" s="138"/>
      <c r="T374" s="31"/>
    </row>
    <row r="375">
      <c r="B375" s="138"/>
      <c r="T375" s="31"/>
    </row>
    <row r="376">
      <c r="B376" s="138"/>
      <c r="T376" s="31"/>
    </row>
    <row r="377">
      <c r="B377" s="138"/>
      <c r="T377" s="31"/>
    </row>
    <row r="378">
      <c r="B378" s="138"/>
      <c r="T378" s="31"/>
    </row>
    <row r="379">
      <c r="B379" s="138"/>
      <c r="T379" s="31"/>
    </row>
    <row r="380">
      <c r="B380" s="138"/>
      <c r="T380" s="31"/>
    </row>
    <row r="381">
      <c r="B381" s="138"/>
      <c r="T381" s="31"/>
    </row>
    <row r="382">
      <c r="B382" s="138"/>
      <c r="T382" s="31"/>
    </row>
    <row r="383">
      <c r="B383" s="138"/>
      <c r="T383" s="31"/>
    </row>
    <row r="384">
      <c r="B384" s="138"/>
      <c r="T384" s="31"/>
    </row>
    <row r="385">
      <c r="B385" s="138"/>
      <c r="T385" s="31"/>
    </row>
    <row r="386">
      <c r="B386" s="138"/>
      <c r="T386" s="31"/>
    </row>
    <row r="387">
      <c r="B387" s="138"/>
      <c r="T387" s="31"/>
    </row>
    <row r="388">
      <c r="B388" s="138"/>
      <c r="T388" s="31"/>
    </row>
    <row r="389">
      <c r="B389" s="138"/>
      <c r="T389" s="31"/>
    </row>
    <row r="390">
      <c r="B390" s="138"/>
      <c r="T390" s="31"/>
    </row>
    <row r="391">
      <c r="B391" s="138"/>
      <c r="T391" s="31"/>
    </row>
    <row r="392">
      <c r="B392" s="138"/>
      <c r="T392" s="31"/>
    </row>
    <row r="393">
      <c r="B393" s="138"/>
      <c r="T393" s="31"/>
    </row>
    <row r="394">
      <c r="B394" s="138"/>
      <c r="T394" s="31"/>
    </row>
    <row r="395">
      <c r="B395" s="138"/>
      <c r="T395" s="31"/>
    </row>
    <row r="396">
      <c r="B396" s="138"/>
      <c r="T396" s="31"/>
    </row>
    <row r="397">
      <c r="B397" s="138"/>
      <c r="T397" s="31"/>
    </row>
    <row r="398">
      <c r="B398" s="138"/>
      <c r="T398" s="31"/>
    </row>
    <row r="399">
      <c r="B399" s="138"/>
      <c r="T399" s="31"/>
    </row>
    <row r="400">
      <c r="B400" s="138"/>
      <c r="T400" s="31"/>
    </row>
    <row r="401">
      <c r="B401" s="138"/>
      <c r="T401" s="31"/>
    </row>
    <row r="402">
      <c r="B402" s="138"/>
      <c r="T402" s="31"/>
    </row>
    <row r="403">
      <c r="B403" s="138"/>
      <c r="T403" s="31"/>
    </row>
    <row r="404">
      <c r="B404" s="138"/>
      <c r="T404" s="31"/>
    </row>
    <row r="405">
      <c r="B405" s="138"/>
      <c r="T405" s="31"/>
    </row>
    <row r="406">
      <c r="B406" s="138"/>
      <c r="T406" s="31"/>
    </row>
    <row r="407">
      <c r="B407" s="138"/>
      <c r="T407" s="31"/>
    </row>
    <row r="408">
      <c r="B408" s="138"/>
      <c r="T408" s="31"/>
    </row>
    <row r="409">
      <c r="B409" s="138"/>
      <c r="T409" s="31"/>
    </row>
    <row r="410">
      <c r="B410" s="138"/>
      <c r="T410" s="31"/>
    </row>
    <row r="411">
      <c r="B411" s="138"/>
      <c r="T411" s="31"/>
    </row>
    <row r="412">
      <c r="B412" s="138"/>
      <c r="T412" s="31"/>
    </row>
    <row r="413">
      <c r="B413" s="138"/>
      <c r="T413" s="31"/>
    </row>
    <row r="414">
      <c r="B414" s="138"/>
      <c r="T414" s="31"/>
    </row>
    <row r="415">
      <c r="B415" s="138"/>
      <c r="T415" s="31"/>
    </row>
    <row r="416">
      <c r="B416" s="138"/>
      <c r="T416" s="31"/>
    </row>
    <row r="417">
      <c r="B417" s="138"/>
      <c r="T417" s="31"/>
    </row>
    <row r="418">
      <c r="B418" s="138"/>
      <c r="T418" s="31"/>
    </row>
    <row r="419">
      <c r="B419" s="138"/>
      <c r="T419" s="31"/>
    </row>
    <row r="420">
      <c r="B420" s="138"/>
      <c r="T420" s="31"/>
    </row>
    <row r="421">
      <c r="B421" s="138"/>
      <c r="T421" s="31"/>
    </row>
    <row r="422">
      <c r="B422" s="138"/>
      <c r="T422" s="31"/>
    </row>
    <row r="423">
      <c r="B423" s="138"/>
      <c r="T423" s="31"/>
    </row>
    <row r="424">
      <c r="B424" s="138"/>
      <c r="T424" s="31"/>
    </row>
    <row r="425">
      <c r="B425" s="138"/>
      <c r="T425" s="31"/>
    </row>
    <row r="426">
      <c r="B426" s="138"/>
      <c r="T426" s="31"/>
    </row>
    <row r="427">
      <c r="B427" s="138"/>
      <c r="T427" s="31"/>
    </row>
    <row r="428">
      <c r="B428" s="138"/>
      <c r="T428" s="31"/>
    </row>
    <row r="429">
      <c r="B429" s="138"/>
      <c r="T429" s="31"/>
    </row>
    <row r="430">
      <c r="B430" s="138"/>
      <c r="T430" s="31"/>
    </row>
    <row r="431">
      <c r="B431" s="138"/>
      <c r="T431" s="31"/>
    </row>
    <row r="432">
      <c r="B432" s="138"/>
      <c r="T432" s="31"/>
    </row>
    <row r="433">
      <c r="B433" s="138"/>
      <c r="T433" s="31"/>
    </row>
    <row r="434">
      <c r="B434" s="138"/>
      <c r="T434" s="31"/>
    </row>
    <row r="435">
      <c r="B435" s="138"/>
      <c r="T435" s="31"/>
    </row>
    <row r="436">
      <c r="B436" s="138"/>
      <c r="T436" s="31"/>
    </row>
    <row r="437">
      <c r="B437" s="138"/>
      <c r="T437" s="31"/>
    </row>
    <row r="438">
      <c r="B438" s="138"/>
      <c r="T438" s="31"/>
    </row>
    <row r="439">
      <c r="B439" s="138"/>
      <c r="T439" s="31"/>
    </row>
    <row r="440">
      <c r="B440" s="138"/>
      <c r="T440" s="31"/>
    </row>
    <row r="441">
      <c r="B441" s="138"/>
      <c r="T441" s="31"/>
    </row>
    <row r="442">
      <c r="B442" s="138"/>
      <c r="T442" s="31"/>
    </row>
    <row r="443">
      <c r="B443" s="138"/>
      <c r="T443" s="31"/>
    </row>
    <row r="444">
      <c r="B444" s="138"/>
      <c r="T444" s="31"/>
    </row>
    <row r="445">
      <c r="B445" s="138"/>
      <c r="T445" s="31"/>
    </row>
    <row r="446">
      <c r="B446" s="138"/>
      <c r="T446" s="31"/>
    </row>
    <row r="447">
      <c r="B447" s="138"/>
      <c r="T447" s="31"/>
    </row>
    <row r="448">
      <c r="B448" s="138"/>
      <c r="T448" s="31"/>
    </row>
    <row r="449">
      <c r="B449" s="138"/>
      <c r="T449" s="31"/>
    </row>
    <row r="450">
      <c r="B450" s="138"/>
      <c r="T450" s="31"/>
    </row>
    <row r="451">
      <c r="B451" s="138"/>
      <c r="T451" s="31"/>
    </row>
    <row r="452">
      <c r="B452" s="138"/>
      <c r="T452" s="31"/>
    </row>
    <row r="453">
      <c r="B453" s="138"/>
      <c r="T453" s="31"/>
    </row>
    <row r="454">
      <c r="B454" s="138"/>
      <c r="T454" s="31"/>
    </row>
    <row r="455">
      <c r="B455" s="138"/>
      <c r="T455" s="31"/>
    </row>
    <row r="456">
      <c r="B456" s="138"/>
      <c r="T456" s="31"/>
    </row>
    <row r="457">
      <c r="B457" s="138"/>
      <c r="T457" s="31"/>
    </row>
    <row r="458">
      <c r="B458" s="138"/>
      <c r="T458" s="31"/>
    </row>
    <row r="459">
      <c r="B459" s="138"/>
      <c r="T459" s="31"/>
    </row>
    <row r="460">
      <c r="B460" s="138"/>
      <c r="T460" s="31"/>
    </row>
    <row r="461">
      <c r="B461" s="138"/>
      <c r="T461" s="31"/>
    </row>
    <row r="462">
      <c r="B462" s="138"/>
      <c r="T462" s="31"/>
    </row>
    <row r="463">
      <c r="B463" s="138"/>
      <c r="T463" s="31"/>
    </row>
    <row r="464">
      <c r="B464" s="138"/>
      <c r="T464" s="31"/>
    </row>
    <row r="465">
      <c r="B465" s="138"/>
      <c r="T465" s="31"/>
    </row>
    <row r="466">
      <c r="B466" s="138"/>
      <c r="T466" s="31"/>
    </row>
    <row r="467">
      <c r="B467" s="138"/>
      <c r="T467" s="31"/>
    </row>
    <row r="468">
      <c r="B468" s="138"/>
      <c r="T468" s="31"/>
    </row>
    <row r="469">
      <c r="B469" s="138"/>
      <c r="T469" s="31"/>
    </row>
    <row r="470">
      <c r="B470" s="138"/>
      <c r="T470" s="31"/>
    </row>
    <row r="471">
      <c r="B471" s="138"/>
      <c r="T471" s="31"/>
    </row>
    <row r="472">
      <c r="B472" s="138"/>
      <c r="T472" s="31"/>
    </row>
    <row r="473">
      <c r="B473" s="138"/>
      <c r="T473" s="31"/>
    </row>
    <row r="474">
      <c r="B474" s="138"/>
      <c r="T474" s="31"/>
    </row>
    <row r="475">
      <c r="B475" s="138"/>
      <c r="T475" s="31"/>
    </row>
    <row r="476">
      <c r="B476" s="138"/>
      <c r="T476" s="31"/>
    </row>
    <row r="477">
      <c r="B477" s="138"/>
      <c r="T477" s="31"/>
    </row>
    <row r="478">
      <c r="B478" s="138"/>
      <c r="T478" s="31"/>
    </row>
    <row r="479">
      <c r="B479" s="138"/>
      <c r="T479" s="31"/>
    </row>
    <row r="480">
      <c r="B480" s="138"/>
      <c r="T480" s="31"/>
    </row>
    <row r="481">
      <c r="B481" s="138"/>
      <c r="T481" s="31"/>
    </row>
    <row r="482">
      <c r="B482" s="138"/>
      <c r="T482" s="31"/>
    </row>
    <row r="483">
      <c r="B483" s="138"/>
      <c r="T483" s="31"/>
    </row>
    <row r="484">
      <c r="B484" s="138"/>
      <c r="T484" s="31"/>
    </row>
    <row r="485">
      <c r="B485" s="138"/>
      <c r="T485" s="31"/>
    </row>
    <row r="486">
      <c r="B486" s="138"/>
      <c r="T486" s="31"/>
    </row>
    <row r="487">
      <c r="B487" s="138"/>
      <c r="T487" s="31"/>
    </row>
    <row r="488">
      <c r="B488" s="138"/>
      <c r="T488" s="31"/>
    </row>
    <row r="489">
      <c r="B489" s="138"/>
      <c r="T489" s="31"/>
    </row>
    <row r="490">
      <c r="B490" s="138"/>
      <c r="T490" s="31"/>
    </row>
    <row r="491">
      <c r="B491" s="138"/>
      <c r="T491" s="31"/>
    </row>
    <row r="492">
      <c r="B492" s="138"/>
      <c r="T492" s="31"/>
    </row>
    <row r="493">
      <c r="B493" s="138"/>
      <c r="T493" s="31"/>
    </row>
    <row r="494">
      <c r="B494" s="138"/>
      <c r="T494" s="31"/>
    </row>
    <row r="495">
      <c r="B495" s="138"/>
      <c r="T495" s="31"/>
    </row>
    <row r="496">
      <c r="B496" s="138"/>
      <c r="T496" s="31"/>
    </row>
    <row r="497">
      <c r="B497" s="138"/>
      <c r="T497" s="31"/>
    </row>
    <row r="498">
      <c r="B498" s="138"/>
      <c r="T498" s="31"/>
    </row>
    <row r="499">
      <c r="B499" s="138"/>
      <c r="T499" s="31"/>
    </row>
    <row r="500">
      <c r="B500" s="138"/>
      <c r="T500" s="31"/>
    </row>
    <row r="501">
      <c r="B501" s="138"/>
      <c r="T501" s="31"/>
    </row>
    <row r="502">
      <c r="B502" s="138"/>
      <c r="T502" s="31"/>
    </row>
    <row r="503">
      <c r="B503" s="138"/>
      <c r="T503" s="31"/>
    </row>
    <row r="504">
      <c r="B504" s="138"/>
      <c r="T504" s="31"/>
    </row>
    <row r="505">
      <c r="B505" s="138"/>
      <c r="T505" s="31"/>
    </row>
    <row r="506">
      <c r="B506" s="138"/>
      <c r="T506" s="31"/>
    </row>
    <row r="507">
      <c r="B507" s="138"/>
      <c r="T507" s="31"/>
    </row>
    <row r="508">
      <c r="B508" s="138"/>
      <c r="T508" s="31"/>
    </row>
    <row r="509">
      <c r="B509" s="138"/>
      <c r="T509" s="31"/>
    </row>
    <row r="510">
      <c r="B510" s="138"/>
      <c r="T510" s="31"/>
    </row>
    <row r="511">
      <c r="B511" s="138"/>
      <c r="T511" s="31"/>
    </row>
    <row r="512">
      <c r="B512" s="138"/>
      <c r="T512" s="31"/>
    </row>
    <row r="513">
      <c r="B513" s="138"/>
      <c r="T513" s="31"/>
    </row>
    <row r="514">
      <c r="B514" s="138"/>
      <c r="T514" s="31"/>
    </row>
    <row r="515">
      <c r="B515" s="138"/>
      <c r="T515" s="31"/>
    </row>
    <row r="516">
      <c r="B516" s="138"/>
      <c r="T516" s="31"/>
    </row>
    <row r="517">
      <c r="B517" s="138"/>
      <c r="T517" s="31"/>
    </row>
    <row r="518">
      <c r="B518" s="138"/>
      <c r="T518" s="31"/>
    </row>
    <row r="519">
      <c r="B519" s="138"/>
      <c r="T519" s="31"/>
    </row>
    <row r="520">
      <c r="B520" s="138"/>
      <c r="T520" s="31"/>
    </row>
    <row r="521">
      <c r="B521" s="138"/>
      <c r="T521" s="31"/>
    </row>
    <row r="522">
      <c r="B522" s="138"/>
      <c r="T522" s="31"/>
    </row>
    <row r="523">
      <c r="B523" s="138"/>
      <c r="T523" s="31"/>
    </row>
    <row r="524">
      <c r="B524" s="138"/>
      <c r="T524" s="31"/>
    </row>
    <row r="525">
      <c r="B525" s="138"/>
      <c r="T525" s="31"/>
    </row>
    <row r="526">
      <c r="B526" s="138"/>
      <c r="T526" s="31"/>
    </row>
    <row r="527">
      <c r="B527" s="138"/>
      <c r="T527" s="31"/>
    </row>
    <row r="528">
      <c r="B528" s="138"/>
      <c r="T528" s="31"/>
    </row>
    <row r="529">
      <c r="B529" s="138"/>
      <c r="T529" s="31"/>
    </row>
    <row r="530">
      <c r="B530" s="138"/>
      <c r="T530" s="31"/>
    </row>
    <row r="531">
      <c r="B531" s="138"/>
      <c r="T531" s="31"/>
    </row>
    <row r="532">
      <c r="B532" s="138"/>
      <c r="T532" s="31"/>
    </row>
    <row r="533">
      <c r="B533" s="138"/>
      <c r="T533" s="31"/>
    </row>
    <row r="534">
      <c r="B534" s="138"/>
      <c r="T534" s="31"/>
    </row>
    <row r="535">
      <c r="B535" s="138"/>
      <c r="T535" s="31"/>
    </row>
    <row r="536">
      <c r="B536" s="138"/>
      <c r="T536" s="31"/>
    </row>
    <row r="537">
      <c r="B537" s="138"/>
      <c r="T537" s="31"/>
    </row>
    <row r="538">
      <c r="B538" s="138"/>
      <c r="T538" s="31"/>
    </row>
    <row r="539">
      <c r="B539" s="138"/>
      <c r="T539" s="31"/>
    </row>
    <row r="540">
      <c r="B540" s="138"/>
      <c r="T540" s="31"/>
    </row>
    <row r="541">
      <c r="B541" s="138"/>
      <c r="T541" s="31"/>
    </row>
    <row r="542">
      <c r="B542" s="138"/>
      <c r="T542" s="31"/>
    </row>
    <row r="543">
      <c r="B543" s="138"/>
      <c r="T543" s="31"/>
    </row>
    <row r="544">
      <c r="B544" s="138"/>
      <c r="T544" s="31"/>
    </row>
    <row r="545">
      <c r="B545" s="138"/>
      <c r="T545" s="31"/>
    </row>
    <row r="546">
      <c r="B546" s="138"/>
      <c r="T546" s="31"/>
    </row>
    <row r="547">
      <c r="B547" s="138"/>
      <c r="T547" s="31"/>
    </row>
    <row r="548">
      <c r="B548" s="138"/>
      <c r="T548" s="31"/>
    </row>
    <row r="549">
      <c r="B549" s="138"/>
      <c r="T549" s="31"/>
    </row>
    <row r="550">
      <c r="B550" s="138"/>
      <c r="T550" s="31"/>
    </row>
    <row r="551">
      <c r="B551" s="138"/>
      <c r="T551" s="31"/>
    </row>
    <row r="552">
      <c r="B552" s="138"/>
      <c r="T552" s="31"/>
    </row>
    <row r="553">
      <c r="B553" s="138"/>
      <c r="T553" s="31"/>
    </row>
    <row r="554">
      <c r="B554" s="138"/>
      <c r="T554" s="31"/>
    </row>
    <row r="555">
      <c r="B555" s="138"/>
      <c r="T555" s="31"/>
    </row>
    <row r="556">
      <c r="B556" s="138"/>
      <c r="T556" s="31"/>
    </row>
    <row r="557">
      <c r="B557" s="138"/>
      <c r="T557" s="31"/>
    </row>
    <row r="558">
      <c r="B558" s="138"/>
      <c r="T558" s="31"/>
    </row>
    <row r="559">
      <c r="B559" s="138"/>
      <c r="T559" s="31"/>
    </row>
    <row r="560">
      <c r="B560" s="138"/>
      <c r="T560" s="31"/>
    </row>
    <row r="561">
      <c r="B561" s="138"/>
      <c r="T561" s="31"/>
    </row>
    <row r="562">
      <c r="B562" s="138"/>
      <c r="T562" s="31"/>
    </row>
    <row r="563">
      <c r="B563" s="138"/>
      <c r="T563" s="31"/>
    </row>
    <row r="564">
      <c r="B564" s="138"/>
      <c r="T564" s="31"/>
    </row>
    <row r="565">
      <c r="B565" s="138"/>
      <c r="T565" s="31"/>
    </row>
    <row r="566">
      <c r="B566" s="138"/>
      <c r="T566" s="31"/>
    </row>
    <row r="567">
      <c r="B567" s="138"/>
      <c r="T567" s="31"/>
    </row>
    <row r="568">
      <c r="B568" s="138"/>
      <c r="T568" s="31"/>
    </row>
    <row r="569">
      <c r="B569" s="138"/>
      <c r="T569" s="31"/>
    </row>
    <row r="570">
      <c r="B570" s="138"/>
      <c r="T570" s="31"/>
    </row>
    <row r="571">
      <c r="B571" s="138"/>
      <c r="T571" s="31"/>
    </row>
    <row r="572">
      <c r="B572" s="138"/>
      <c r="T572" s="31"/>
    </row>
    <row r="573">
      <c r="B573" s="138"/>
      <c r="T573" s="31"/>
    </row>
    <row r="574">
      <c r="B574" s="138"/>
      <c r="T574" s="31"/>
    </row>
    <row r="575">
      <c r="B575" s="138"/>
      <c r="T575" s="31"/>
    </row>
    <row r="576">
      <c r="B576" s="138"/>
      <c r="T576" s="31"/>
    </row>
    <row r="577">
      <c r="B577" s="138"/>
      <c r="T577" s="31"/>
    </row>
    <row r="578">
      <c r="B578" s="138"/>
      <c r="T578" s="31"/>
    </row>
    <row r="579">
      <c r="B579" s="138"/>
      <c r="T579" s="31"/>
    </row>
    <row r="580">
      <c r="B580" s="138"/>
      <c r="T580" s="31"/>
    </row>
    <row r="581">
      <c r="B581" s="138"/>
      <c r="T581" s="31"/>
    </row>
    <row r="582">
      <c r="B582" s="138"/>
      <c r="T582" s="31"/>
    </row>
    <row r="583">
      <c r="B583" s="138"/>
      <c r="T583" s="31"/>
    </row>
    <row r="584">
      <c r="B584" s="138"/>
      <c r="T584" s="31"/>
    </row>
    <row r="585">
      <c r="B585" s="138"/>
      <c r="T585" s="31"/>
    </row>
    <row r="586">
      <c r="B586" s="138"/>
      <c r="T586" s="31"/>
    </row>
    <row r="587">
      <c r="B587" s="138"/>
      <c r="T587" s="31"/>
    </row>
    <row r="588">
      <c r="B588" s="138"/>
      <c r="T588" s="31"/>
    </row>
    <row r="589">
      <c r="B589" s="138"/>
      <c r="T589" s="31"/>
    </row>
    <row r="590">
      <c r="B590" s="138"/>
      <c r="T590" s="31"/>
    </row>
    <row r="591">
      <c r="B591" s="138"/>
      <c r="T591" s="31"/>
    </row>
    <row r="592">
      <c r="B592" s="138"/>
      <c r="T592" s="31"/>
    </row>
    <row r="593">
      <c r="B593" s="138"/>
      <c r="T593" s="31"/>
    </row>
    <row r="594">
      <c r="B594" s="138"/>
      <c r="T594" s="31"/>
    </row>
    <row r="595">
      <c r="B595" s="138"/>
      <c r="T595" s="31"/>
    </row>
    <row r="596">
      <c r="B596" s="138"/>
      <c r="T596" s="31"/>
    </row>
    <row r="597">
      <c r="B597" s="138"/>
      <c r="T597" s="31"/>
    </row>
    <row r="598">
      <c r="B598" s="138"/>
      <c r="T598" s="31"/>
    </row>
    <row r="599">
      <c r="B599" s="138"/>
      <c r="T599" s="31"/>
    </row>
    <row r="600">
      <c r="B600" s="138"/>
      <c r="T600" s="31"/>
    </row>
    <row r="601">
      <c r="B601" s="138"/>
      <c r="T601" s="31"/>
    </row>
    <row r="602">
      <c r="B602" s="138"/>
      <c r="T602" s="31"/>
    </row>
    <row r="603">
      <c r="B603" s="138"/>
      <c r="T603" s="31"/>
    </row>
    <row r="604">
      <c r="B604" s="138"/>
      <c r="T604" s="31"/>
    </row>
    <row r="605">
      <c r="B605" s="138"/>
      <c r="T605" s="31"/>
    </row>
    <row r="606">
      <c r="B606" s="138"/>
      <c r="T606" s="31"/>
    </row>
    <row r="607">
      <c r="B607" s="138"/>
      <c r="T607" s="31"/>
    </row>
    <row r="608">
      <c r="B608" s="138"/>
      <c r="T608" s="31"/>
    </row>
    <row r="609">
      <c r="B609" s="138"/>
      <c r="T609" s="31"/>
    </row>
    <row r="610">
      <c r="B610" s="138"/>
      <c r="T610" s="31"/>
    </row>
    <row r="611">
      <c r="B611" s="138"/>
      <c r="T611" s="31"/>
    </row>
    <row r="612">
      <c r="B612" s="138"/>
      <c r="T612" s="31"/>
    </row>
    <row r="613">
      <c r="B613" s="138"/>
      <c r="T613" s="31"/>
    </row>
    <row r="614">
      <c r="B614" s="138"/>
      <c r="T614" s="31"/>
    </row>
    <row r="615">
      <c r="B615" s="138"/>
      <c r="T615" s="31"/>
    </row>
    <row r="616">
      <c r="B616" s="138"/>
      <c r="T616" s="31"/>
    </row>
    <row r="617">
      <c r="B617" s="138"/>
      <c r="T617" s="31"/>
    </row>
    <row r="618">
      <c r="B618" s="138"/>
      <c r="T618" s="31"/>
    </row>
    <row r="619">
      <c r="B619" s="138"/>
      <c r="T619" s="31"/>
    </row>
    <row r="620">
      <c r="B620" s="138"/>
      <c r="T620" s="31"/>
    </row>
    <row r="621">
      <c r="B621" s="138"/>
      <c r="T621" s="31"/>
    </row>
    <row r="622">
      <c r="B622" s="138"/>
      <c r="T622" s="31"/>
    </row>
    <row r="623">
      <c r="B623" s="138"/>
      <c r="T623" s="31"/>
    </row>
    <row r="624">
      <c r="B624" s="138"/>
      <c r="T624" s="31"/>
    </row>
    <row r="625">
      <c r="B625" s="138"/>
      <c r="T625" s="31"/>
    </row>
    <row r="626">
      <c r="B626" s="138"/>
      <c r="T626" s="31"/>
    </row>
    <row r="627">
      <c r="B627" s="138"/>
      <c r="T627" s="31"/>
    </row>
    <row r="628">
      <c r="B628" s="138"/>
      <c r="T628" s="31"/>
    </row>
    <row r="629">
      <c r="B629" s="138"/>
      <c r="T629" s="31"/>
    </row>
    <row r="630">
      <c r="B630" s="138"/>
      <c r="T630" s="31"/>
    </row>
    <row r="631">
      <c r="B631" s="138"/>
      <c r="T631" s="31"/>
    </row>
    <row r="632">
      <c r="B632" s="138"/>
      <c r="T632" s="31"/>
    </row>
    <row r="633">
      <c r="B633" s="138"/>
      <c r="T633" s="31"/>
    </row>
    <row r="634">
      <c r="B634" s="138"/>
      <c r="T634" s="31"/>
    </row>
    <row r="635">
      <c r="B635" s="138"/>
      <c r="T635" s="31"/>
    </row>
    <row r="636">
      <c r="B636" s="138"/>
      <c r="T636" s="31"/>
    </row>
    <row r="637">
      <c r="B637" s="138"/>
      <c r="T637" s="31"/>
    </row>
    <row r="638">
      <c r="B638" s="138"/>
      <c r="T638" s="31"/>
    </row>
    <row r="639">
      <c r="B639" s="138"/>
      <c r="T639" s="31"/>
    </row>
    <row r="640">
      <c r="B640" s="138"/>
      <c r="T640" s="31"/>
    </row>
    <row r="641">
      <c r="B641" s="138"/>
      <c r="T641" s="31"/>
    </row>
    <row r="642">
      <c r="B642" s="138"/>
      <c r="T642" s="31"/>
    </row>
    <row r="643">
      <c r="B643" s="138"/>
      <c r="T643" s="31"/>
    </row>
    <row r="644">
      <c r="B644" s="138"/>
      <c r="T644" s="31"/>
    </row>
    <row r="645">
      <c r="B645" s="138"/>
      <c r="T645" s="31"/>
    </row>
    <row r="646">
      <c r="B646" s="138"/>
      <c r="T646" s="31"/>
    </row>
    <row r="647">
      <c r="B647" s="138"/>
      <c r="T647" s="31"/>
    </row>
    <row r="648">
      <c r="B648" s="138"/>
      <c r="T648" s="31"/>
    </row>
    <row r="649">
      <c r="B649" s="138"/>
      <c r="T649" s="31"/>
    </row>
    <row r="650">
      <c r="B650" s="138"/>
      <c r="T650" s="31"/>
    </row>
    <row r="651">
      <c r="B651" s="138"/>
      <c r="T651" s="31"/>
    </row>
    <row r="652">
      <c r="B652" s="138"/>
      <c r="T652" s="31"/>
    </row>
    <row r="653">
      <c r="B653" s="138"/>
      <c r="T653" s="31"/>
    </row>
    <row r="654">
      <c r="B654" s="138"/>
      <c r="T654" s="31"/>
    </row>
    <row r="655">
      <c r="B655" s="138"/>
      <c r="T655" s="31"/>
    </row>
    <row r="656">
      <c r="B656" s="138"/>
      <c r="T656" s="31"/>
    </row>
    <row r="657">
      <c r="B657" s="138"/>
      <c r="T657" s="31"/>
    </row>
    <row r="658">
      <c r="B658" s="138"/>
      <c r="T658" s="31"/>
    </row>
    <row r="659">
      <c r="B659" s="138"/>
      <c r="T659" s="31"/>
    </row>
    <row r="660">
      <c r="B660" s="138"/>
      <c r="T660" s="31"/>
    </row>
    <row r="661">
      <c r="B661" s="138"/>
      <c r="T661" s="31"/>
    </row>
    <row r="662">
      <c r="B662" s="138"/>
      <c r="T662" s="31"/>
    </row>
    <row r="663">
      <c r="B663" s="138"/>
      <c r="T663" s="31"/>
    </row>
    <row r="664">
      <c r="B664" s="138"/>
      <c r="T664" s="31"/>
    </row>
    <row r="665">
      <c r="B665" s="138"/>
      <c r="T665" s="31"/>
    </row>
    <row r="666">
      <c r="B666" s="138"/>
      <c r="T666" s="31"/>
    </row>
    <row r="667">
      <c r="B667" s="138"/>
      <c r="T667" s="31"/>
    </row>
    <row r="668">
      <c r="B668" s="138"/>
      <c r="T668" s="31"/>
    </row>
    <row r="669">
      <c r="B669" s="138"/>
      <c r="T669" s="31"/>
    </row>
    <row r="670">
      <c r="B670" s="138"/>
      <c r="T670" s="31"/>
    </row>
    <row r="671">
      <c r="B671" s="138"/>
      <c r="T671" s="31"/>
    </row>
    <row r="672">
      <c r="B672" s="138"/>
      <c r="T672" s="31"/>
    </row>
    <row r="673">
      <c r="B673" s="138"/>
      <c r="T673" s="31"/>
    </row>
    <row r="674">
      <c r="B674" s="138"/>
      <c r="T674" s="31"/>
    </row>
    <row r="675">
      <c r="B675" s="138"/>
      <c r="T675" s="31"/>
    </row>
    <row r="676">
      <c r="B676" s="138"/>
      <c r="T676" s="31"/>
    </row>
    <row r="677">
      <c r="B677" s="138"/>
      <c r="T677" s="31"/>
    </row>
    <row r="678">
      <c r="B678" s="138"/>
      <c r="T678" s="31"/>
    </row>
    <row r="679">
      <c r="B679" s="138"/>
      <c r="T679" s="31"/>
    </row>
    <row r="680">
      <c r="B680" s="138"/>
      <c r="T680" s="31"/>
    </row>
    <row r="681">
      <c r="B681" s="138"/>
      <c r="T681" s="31"/>
    </row>
    <row r="682">
      <c r="B682" s="138"/>
      <c r="T682" s="31"/>
    </row>
    <row r="683">
      <c r="B683" s="138"/>
      <c r="T683" s="31"/>
    </row>
    <row r="684">
      <c r="B684" s="138"/>
      <c r="T684" s="31"/>
    </row>
    <row r="685">
      <c r="B685" s="138"/>
      <c r="T685" s="31"/>
    </row>
    <row r="686">
      <c r="B686" s="138"/>
      <c r="T686" s="31"/>
    </row>
    <row r="687">
      <c r="B687" s="138"/>
      <c r="T687" s="31"/>
    </row>
    <row r="688">
      <c r="B688" s="138"/>
      <c r="T688" s="31"/>
    </row>
    <row r="689">
      <c r="B689" s="138"/>
      <c r="T689" s="31"/>
    </row>
    <row r="690">
      <c r="B690" s="138"/>
      <c r="T690" s="31"/>
    </row>
    <row r="691">
      <c r="B691" s="138"/>
      <c r="T691" s="31"/>
    </row>
    <row r="692">
      <c r="B692" s="138"/>
      <c r="T692" s="31"/>
    </row>
    <row r="693">
      <c r="B693" s="138"/>
      <c r="T693" s="31"/>
    </row>
    <row r="694">
      <c r="B694" s="138"/>
      <c r="T694" s="31"/>
    </row>
    <row r="695">
      <c r="B695" s="138"/>
      <c r="T695" s="31"/>
    </row>
    <row r="696">
      <c r="B696" s="138"/>
      <c r="T696" s="31"/>
    </row>
    <row r="697">
      <c r="B697" s="138"/>
      <c r="T697" s="31"/>
    </row>
    <row r="698">
      <c r="B698" s="138"/>
      <c r="T698" s="31"/>
    </row>
    <row r="699">
      <c r="B699" s="138"/>
      <c r="T699" s="31"/>
    </row>
    <row r="700">
      <c r="B700" s="138"/>
      <c r="T700" s="31"/>
    </row>
    <row r="701">
      <c r="B701" s="138"/>
      <c r="T701" s="31"/>
    </row>
    <row r="702">
      <c r="B702" s="138"/>
      <c r="T702" s="31"/>
    </row>
    <row r="703">
      <c r="B703" s="138"/>
      <c r="T703" s="31"/>
    </row>
    <row r="704">
      <c r="B704" s="138"/>
      <c r="T704" s="31"/>
    </row>
    <row r="705">
      <c r="B705" s="138"/>
      <c r="T705" s="31"/>
    </row>
    <row r="706">
      <c r="B706" s="138"/>
      <c r="T706" s="31"/>
    </row>
    <row r="707">
      <c r="B707" s="138"/>
      <c r="T707" s="31"/>
    </row>
    <row r="708">
      <c r="B708" s="138"/>
      <c r="T708" s="31"/>
    </row>
    <row r="709">
      <c r="B709" s="138"/>
      <c r="T709" s="31"/>
    </row>
    <row r="710">
      <c r="B710" s="138"/>
      <c r="T710" s="31"/>
    </row>
    <row r="711">
      <c r="B711" s="138"/>
      <c r="T711" s="31"/>
    </row>
    <row r="712">
      <c r="B712" s="138"/>
      <c r="T712" s="31"/>
    </row>
    <row r="713">
      <c r="B713" s="138"/>
      <c r="T713" s="31"/>
    </row>
    <row r="714">
      <c r="B714" s="138"/>
      <c r="T714" s="31"/>
    </row>
    <row r="715">
      <c r="B715" s="138"/>
      <c r="T715" s="31"/>
    </row>
    <row r="716">
      <c r="B716" s="138"/>
      <c r="T716" s="31"/>
    </row>
    <row r="717">
      <c r="B717" s="138"/>
      <c r="T717" s="31"/>
    </row>
    <row r="718">
      <c r="B718" s="138"/>
      <c r="T718" s="31"/>
    </row>
    <row r="719">
      <c r="B719" s="138"/>
      <c r="T719" s="31"/>
    </row>
    <row r="720">
      <c r="B720" s="138"/>
      <c r="T720" s="31"/>
    </row>
    <row r="721">
      <c r="B721" s="138"/>
      <c r="T721" s="31"/>
    </row>
    <row r="722">
      <c r="B722" s="138"/>
      <c r="T722" s="31"/>
    </row>
    <row r="723">
      <c r="B723" s="138"/>
      <c r="T723" s="31"/>
    </row>
    <row r="724">
      <c r="B724" s="138"/>
      <c r="T724" s="31"/>
    </row>
    <row r="725">
      <c r="B725" s="138"/>
      <c r="T725" s="31"/>
    </row>
    <row r="726">
      <c r="B726" s="138"/>
      <c r="T726" s="31"/>
    </row>
    <row r="727">
      <c r="B727" s="138"/>
      <c r="T727" s="31"/>
    </row>
    <row r="728">
      <c r="B728" s="138"/>
      <c r="T728" s="31"/>
    </row>
    <row r="729">
      <c r="B729" s="138"/>
      <c r="T729" s="31"/>
    </row>
    <row r="730">
      <c r="B730" s="138"/>
      <c r="T730" s="31"/>
    </row>
    <row r="731">
      <c r="B731" s="138"/>
      <c r="T731" s="31"/>
    </row>
    <row r="732">
      <c r="B732" s="138"/>
      <c r="T732" s="31"/>
    </row>
    <row r="733">
      <c r="B733" s="138"/>
      <c r="T733" s="31"/>
    </row>
    <row r="734">
      <c r="B734" s="138"/>
      <c r="T734" s="31"/>
    </row>
    <row r="735">
      <c r="B735" s="138"/>
      <c r="T735" s="31"/>
    </row>
    <row r="736">
      <c r="B736" s="138"/>
      <c r="T736" s="31"/>
    </row>
    <row r="737">
      <c r="B737" s="138"/>
      <c r="T737" s="31"/>
    </row>
    <row r="738">
      <c r="B738" s="138"/>
      <c r="T738" s="31"/>
    </row>
    <row r="739">
      <c r="B739" s="138"/>
      <c r="T739" s="31"/>
    </row>
    <row r="740">
      <c r="B740" s="138"/>
      <c r="T740" s="31"/>
    </row>
    <row r="741">
      <c r="B741" s="138"/>
      <c r="T741" s="31"/>
    </row>
    <row r="742">
      <c r="B742" s="138"/>
      <c r="T742" s="31"/>
    </row>
    <row r="743">
      <c r="B743" s="138"/>
      <c r="T743" s="31"/>
    </row>
    <row r="744">
      <c r="B744" s="138"/>
      <c r="T744" s="31"/>
    </row>
    <row r="745">
      <c r="B745" s="138"/>
      <c r="T745" s="31"/>
    </row>
    <row r="746">
      <c r="B746" s="138"/>
      <c r="T746" s="31"/>
    </row>
    <row r="747">
      <c r="B747" s="138"/>
      <c r="T747" s="31"/>
    </row>
    <row r="748">
      <c r="B748" s="138"/>
      <c r="T748" s="31"/>
    </row>
    <row r="749">
      <c r="B749" s="138"/>
      <c r="T749" s="31"/>
    </row>
    <row r="750">
      <c r="B750" s="138"/>
      <c r="T750" s="31"/>
    </row>
    <row r="751">
      <c r="B751" s="138"/>
      <c r="T751" s="31"/>
    </row>
    <row r="752">
      <c r="B752" s="138"/>
      <c r="T752" s="31"/>
    </row>
    <row r="753">
      <c r="B753" s="138"/>
      <c r="T753" s="31"/>
    </row>
    <row r="754">
      <c r="B754" s="138"/>
      <c r="T754" s="31"/>
    </row>
    <row r="755">
      <c r="B755" s="138"/>
      <c r="T755" s="31"/>
    </row>
    <row r="756">
      <c r="B756" s="138"/>
      <c r="T756" s="31"/>
    </row>
    <row r="757">
      <c r="B757" s="138"/>
      <c r="T757" s="31"/>
    </row>
    <row r="758">
      <c r="B758" s="138"/>
      <c r="T758" s="31"/>
    </row>
    <row r="759">
      <c r="B759" s="138"/>
      <c r="T759" s="31"/>
    </row>
    <row r="760">
      <c r="B760" s="138"/>
      <c r="T760" s="31"/>
    </row>
    <row r="761">
      <c r="B761" s="138"/>
      <c r="T761" s="31"/>
    </row>
    <row r="762">
      <c r="B762" s="138"/>
      <c r="T762" s="31"/>
    </row>
    <row r="763">
      <c r="B763" s="138"/>
      <c r="T763" s="31"/>
    </row>
    <row r="764">
      <c r="B764" s="138"/>
      <c r="T764" s="31"/>
    </row>
    <row r="765">
      <c r="B765" s="138"/>
      <c r="T765" s="31"/>
    </row>
    <row r="766">
      <c r="B766" s="138"/>
      <c r="T766" s="31"/>
    </row>
    <row r="767">
      <c r="B767" s="138"/>
      <c r="T767" s="31"/>
    </row>
    <row r="768">
      <c r="B768" s="138"/>
      <c r="T768" s="31"/>
    </row>
    <row r="769">
      <c r="B769" s="138"/>
      <c r="T769" s="31"/>
    </row>
    <row r="770">
      <c r="B770" s="138"/>
      <c r="T770" s="31"/>
    </row>
    <row r="771">
      <c r="B771" s="138"/>
      <c r="T771" s="31"/>
    </row>
    <row r="772">
      <c r="B772" s="138"/>
      <c r="T772" s="31"/>
    </row>
    <row r="773">
      <c r="B773" s="138"/>
      <c r="T773" s="31"/>
    </row>
    <row r="774">
      <c r="B774" s="138"/>
      <c r="T774" s="31"/>
    </row>
    <row r="775">
      <c r="B775" s="138"/>
      <c r="T775" s="31"/>
    </row>
    <row r="776">
      <c r="B776" s="138"/>
      <c r="T776" s="31"/>
    </row>
    <row r="777">
      <c r="B777" s="138"/>
      <c r="T777" s="31"/>
    </row>
    <row r="778">
      <c r="B778" s="138"/>
      <c r="T778" s="31"/>
    </row>
    <row r="779">
      <c r="B779" s="138"/>
      <c r="T779" s="31"/>
    </row>
    <row r="780">
      <c r="B780" s="138"/>
      <c r="T780" s="31"/>
    </row>
    <row r="781">
      <c r="B781" s="138"/>
      <c r="T781" s="31"/>
    </row>
    <row r="782">
      <c r="B782" s="138"/>
      <c r="T782" s="31"/>
    </row>
    <row r="783">
      <c r="B783" s="138"/>
      <c r="T783" s="31"/>
    </row>
    <row r="784">
      <c r="B784" s="138"/>
      <c r="T784" s="31"/>
    </row>
    <row r="785">
      <c r="B785" s="138"/>
      <c r="T785" s="31"/>
    </row>
    <row r="786">
      <c r="B786" s="138"/>
      <c r="T786" s="31"/>
    </row>
    <row r="787">
      <c r="B787" s="138"/>
      <c r="T787" s="31"/>
    </row>
    <row r="788">
      <c r="B788" s="138"/>
      <c r="T788" s="31"/>
    </row>
    <row r="789">
      <c r="B789" s="138"/>
      <c r="T789" s="31"/>
    </row>
    <row r="790">
      <c r="B790" s="138"/>
      <c r="T790" s="31"/>
    </row>
    <row r="791">
      <c r="B791" s="138"/>
      <c r="T791" s="31"/>
    </row>
    <row r="792">
      <c r="B792" s="138"/>
      <c r="T792" s="31"/>
    </row>
    <row r="793">
      <c r="B793" s="138"/>
      <c r="T793" s="31"/>
    </row>
    <row r="794">
      <c r="B794" s="138"/>
      <c r="T794" s="31"/>
    </row>
    <row r="795">
      <c r="B795" s="138"/>
      <c r="T795" s="31"/>
    </row>
    <row r="796">
      <c r="B796" s="138"/>
      <c r="T796" s="31"/>
    </row>
    <row r="797">
      <c r="B797" s="138"/>
      <c r="T797" s="31"/>
    </row>
    <row r="798">
      <c r="B798" s="138"/>
      <c r="T798" s="31"/>
    </row>
    <row r="799">
      <c r="B799" s="138"/>
      <c r="T799" s="31"/>
    </row>
    <row r="800">
      <c r="B800" s="138"/>
      <c r="T800" s="31"/>
    </row>
    <row r="801">
      <c r="B801" s="138"/>
      <c r="T801" s="31"/>
    </row>
    <row r="802">
      <c r="B802" s="138"/>
      <c r="T802" s="31"/>
    </row>
    <row r="803">
      <c r="B803" s="138"/>
      <c r="T803" s="31"/>
    </row>
    <row r="804">
      <c r="B804" s="138"/>
      <c r="T804" s="31"/>
    </row>
    <row r="805">
      <c r="B805" s="138"/>
      <c r="T805" s="31"/>
    </row>
    <row r="806">
      <c r="B806" s="138"/>
      <c r="T806" s="31"/>
    </row>
    <row r="807">
      <c r="B807" s="138"/>
      <c r="T807" s="31"/>
    </row>
    <row r="808">
      <c r="B808" s="138"/>
      <c r="T808" s="31"/>
    </row>
    <row r="809">
      <c r="B809" s="138"/>
      <c r="T809" s="31"/>
    </row>
    <row r="810">
      <c r="B810" s="138"/>
      <c r="T810" s="31"/>
    </row>
    <row r="811">
      <c r="B811" s="138"/>
      <c r="T811" s="31"/>
    </row>
    <row r="812">
      <c r="B812" s="138"/>
      <c r="T812" s="31"/>
    </row>
    <row r="813">
      <c r="B813" s="138"/>
      <c r="T813" s="31"/>
    </row>
    <row r="814">
      <c r="B814" s="138"/>
      <c r="T814" s="31"/>
    </row>
    <row r="815">
      <c r="B815" s="138"/>
      <c r="T815" s="31"/>
    </row>
    <row r="816">
      <c r="B816" s="138"/>
      <c r="T816" s="31"/>
    </row>
    <row r="817">
      <c r="B817" s="138"/>
      <c r="T817" s="31"/>
    </row>
    <row r="818">
      <c r="B818" s="138"/>
      <c r="T818" s="31"/>
    </row>
    <row r="819">
      <c r="B819" s="138"/>
      <c r="T819" s="31"/>
    </row>
    <row r="820">
      <c r="B820" s="138"/>
      <c r="T820" s="31"/>
    </row>
    <row r="821">
      <c r="B821" s="138"/>
      <c r="T821" s="31"/>
    </row>
    <row r="822">
      <c r="B822" s="138"/>
      <c r="T822" s="31"/>
    </row>
    <row r="823">
      <c r="B823" s="138"/>
      <c r="T823" s="31"/>
    </row>
    <row r="824">
      <c r="B824" s="138"/>
      <c r="T824" s="31"/>
    </row>
    <row r="825">
      <c r="B825" s="138"/>
      <c r="T825" s="31"/>
    </row>
    <row r="826">
      <c r="B826" s="138"/>
      <c r="T826" s="31"/>
    </row>
    <row r="827">
      <c r="B827" s="138"/>
      <c r="T827" s="31"/>
    </row>
    <row r="828">
      <c r="B828" s="138"/>
      <c r="T828" s="31"/>
    </row>
    <row r="829">
      <c r="B829" s="138"/>
      <c r="T829" s="31"/>
    </row>
    <row r="830">
      <c r="B830" s="138"/>
      <c r="T830" s="31"/>
    </row>
    <row r="831">
      <c r="B831" s="138"/>
      <c r="T831" s="31"/>
    </row>
    <row r="832">
      <c r="B832" s="138"/>
      <c r="T832" s="31"/>
    </row>
    <row r="833">
      <c r="B833" s="138"/>
      <c r="T833" s="31"/>
    </row>
    <row r="834">
      <c r="B834" s="138"/>
      <c r="T834" s="31"/>
    </row>
    <row r="835">
      <c r="B835" s="138"/>
      <c r="T835" s="31"/>
    </row>
    <row r="836">
      <c r="B836" s="138"/>
      <c r="T836" s="31"/>
    </row>
    <row r="837">
      <c r="B837" s="138"/>
      <c r="T837" s="31"/>
    </row>
    <row r="838">
      <c r="B838" s="138"/>
      <c r="T838" s="31"/>
    </row>
    <row r="839">
      <c r="B839" s="138"/>
      <c r="T839" s="31"/>
    </row>
    <row r="840">
      <c r="B840" s="138"/>
      <c r="T840" s="31"/>
    </row>
    <row r="841">
      <c r="B841" s="138"/>
      <c r="T841" s="31"/>
    </row>
    <row r="842">
      <c r="B842" s="138"/>
      <c r="T842" s="31"/>
    </row>
    <row r="843">
      <c r="B843" s="138"/>
      <c r="T843" s="31"/>
    </row>
    <row r="844">
      <c r="B844" s="138"/>
      <c r="T844" s="31"/>
    </row>
    <row r="845">
      <c r="B845" s="138"/>
      <c r="T845" s="31"/>
    </row>
    <row r="846">
      <c r="B846" s="138"/>
      <c r="T846" s="31"/>
    </row>
    <row r="847">
      <c r="B847" s="138"/>
      <c r="T847" s="31"/>
    </row>
    <row r="848">
      <c r="B848" s="138"/>
      <c r="T848" s="31"/>
    </row>
    <row r="849">
      <c r="B849" s="138"/>
      <c r="T849" s="31"/>
    </row>
    <row r="850">
      <c r="B850" s="138"/>
      <c r="T850" s="31"/>
    </row>
    <row r="851">
      <c r="B851" s="138"/>
      <c r="T851" s="31"/>
    </row>
    <row r="852">
      <c r="B852" s="138"/>
      <c r="T852" s="31"/>
    </row>
    <row r="853">
      <c r="B853" s="138"/>
      <c r="T853" s="31"/>
    </row>
    <row r="854">
      <c r="B854" s="138"/>
      <c r="T854" s="31"/>
    </row>
    <row r="855">
      <c r="B855" s="138"/>
      <c r="T855" s="31"/>
    </row>
    <row r="856">
      <c r="B856" s="138"/>
      <c r="T856" s="31"/>
    </row>
    <row r="857">
      <c r="B857" s="138"/>
      <c r="T857" s="31"/>
    </row>
    <row r="858">
      <c r="B858" s="138"/>
      <c r="T858" s="31"/>
    </row>
    <row r="859">
      <c r="B859" s="138"/>
      <c r="T859" s="31"/>
    </row>
    <row r="860">
      <c r="B860" s="138"/>
      <c r="T860" s="31"/>
    </row>
    <row r="861">
      <c r="B861" s="138"/>
      <c r="T861" s="31"/>
    </row>
    <row r="862">
      <c r="B862" s="138"/>
      <c r="T862" s="31"/>
    </row>
    <row r="863">
      <c r="B863" s="138"/>
      <c r="T863" s="31"/>
    </row>
    <row r="864">
      <c r="B864" s="138"/>
      <c r="T864" s="31"/>
    </row>
    <row r="865">
      <c r="B865" s="138"/>
      <c r="T865" s="31"/>
    </row>
    <row r="866">
      <c r="B866" s="138"/>
      <c r="T866" s="31"/>
    </row>
    <row r="867">
      <c r="B867" s="138"/>
      <c r="T867" s="31"/>
    </row>
    <row r="868">
      <c r="B868" s="138"/>
      <c r="T868" s="31"/>
    </row>
    <row r="869">
      <c r="B869" s="138"/>
      <c r="T869" s="31"/>
    </row>
    <row r="870">
      <c r="B870" s="138"/>
      <c r="T870" s="31"/>
    </row>
    <row r="871">
      <c r="B871" s="138"/>
      <c r="T871" s="31"/>
    </row>
    <row r="872">
      <c r="B872" s="138"/>
      <c r="T872" s="31"/>
    </row>
    <row r="873">
      <c r="B873" s="138"/>
      <c r="T873" s="31"/>
    </row>
    <row r="874">
      <c r="B874" s="138"/>
      <c r="T874" s="31"/>
    </row>
    <row r="875">
      <c r="B875" s="138"/>
      <c r="T875" s="31"/>
    </row>
    <row r="876">
      <c r="B876" s="138"/>
      <c r="T876" s="31"/>
    </row>
    <row r="877">
      <c r="B877" s="138"/>
      <c r="T877" s="31"/>
    </row>
    <row r="878">
      <c r="B878" s="138"/>
      <c r="T878" s="31"/>
    </row>
    <row r="879">
      <c r="B879" s="138"/>
      <c r="T879" s="31"/>
    </row>
    <row r="880">
      <c r="B880" s="138"/>
      <c r="T880" s="31"/>
    </row>
    <row r="881">
      <c r="B881" s="138"/>
      <c r="T881" s="31"/>
    </row>
    <row r="882">
      <c r="B882" s="138"/>
      <c r="T882" s="31"/>
    </row>
    <row r="883">
      <c r="B883" s="138"/>
      <c r="T883" s="31"/>
    </row>
    <row r="884">
      <c r="B884" s="138"/>
      <c r="T884" s="31"/>
    </row>
    <row r="885">
      <c r="B885" s="138"/>
      <c r="T885" s="31"/>
    </row>
    <row r="886">
      <c r="B886" s="138"/>
      <c r="T886" s="31"/>
    </row>
    <row r="887">
      <c r="B887" s="138"/>
      <c r="T887" s="31"/>
    </row>
    <row r="888">
      <c r="B888" s="138"/>
      <c r="T888" s="31"/>
    </row>
    <row r="889">
      <c r="B889" s="138"/>
      <c r="T889" s="31"/>
    </row>
    <row r="890">
      <c r="B890" s="138"/>
      <c r="T890" s="31"/>
    </row>
    <row r="891">
      <c r="B891" s="138"/>
      <c r="T891" s="31"/>
    </row>
    <row r="892">
      <c r="B892" s="138"/>
      <c r="T892" s="31"/>
    </row>
    <row r="893">
      <c r="B893" s="138"/>
      <c r="T893" s="31"/>
    </row>
    <row r="894">
      <c r="B894" s="138"/>
      <c r="T894" s="31"/>
    </row>
    <row r="895">
      <c r="B895" s="138"/>
      <c r="T895" s="31"/>
    </row>
    <row r="896">
      <c r="B896" s="138"/>
      <c r="T896" s="31"/>
    </row>
    <row r="897">
      <c r="B897" s="138"/>
      <c r="T897" s="31"/>
    </row>
    <row r="898">
      <c r="B898" s="138"/>
      <c r="T898" s="31"/>
    </row>
    <row r="899">
      <c r="B899" s="138"/>
      <c r="T899" s="31"/>
    </row>
    <row r="900">
      <c r="B900" s="138"/>
      <c r="T900" s="31"/>
    </row>
    <row r="901">
      <c r="B901" s="138"/>
      <c r="T901" s="31"/>
    </row>
    <row r="902">
      <c r="B902" s="138"/>
      <c r="T902" s="31"/>
    </row>
    <row r="903">
      <c r="B903" s="138"/>
      <c r="T903" s="31"/>
    </row>
    <row r="904">
      <c r="B904" s="138"/>
      <c r="T904" s="31"/>
    </row>
    <row r="905">
      <c r="B905" s="138"/>
      <c r="T905" s="31"/>
    </row>
    <row r="906">
      <c r="B906" s="138"/>
      <c r="T906" s="31"/>
    </row>
    <row r="907">
      <c r="B907" s="138"/>
      <c r="T907" s="31"/>
    </row>
    <row r="908">
      <c r="B908" s="138"/>
      <c r="T908" s="31"/>
    </row>
    <row r="909">
      <c r="B909" s="138"/>
      <c r="T909" s="31"/>
    </row>
    <row r="910">
      <c r="B910" s="138"/>
      <c r="T910" s="31"/>
    </row>
    <row r="911">
      <c r="B911" s="138"/>
      <c r="T911" s="31"/>
    </row>
    <row r="912">
      <c r="B912" s="138"/>
      <c r="T912" s="31"/>
    </row>
    <row r="913">
      <c r="B913" s="138"/>
      <c r="T913" s="31"/>
    </row>
    <row r="914">
      <c r="B914" s="138"/>
      <c r="T914" s="31"/>
    </row>
    <row r="915">
      <c r="B915" s="138"/>
      <c r="T915" s="31"/>
    </row>
    <row r="916">
      <c r="B916" s="138"/>
      <c r="T916" s="31"/>
    </row>
    <row r="917">
      <c r="B917" s="138"/>
      <c r="T917" s="31"/>
    </row>
    <row r="918">
      <c r="B918" s="138"/>
      <c r="T918" s="31"/>
    </row>
    <row r="919">
      <c r="B919" s="138"/>
      <c r="T919" s="31"/>
    </row>
    <row r="920">
      <c r="B920" s="138"/>
      <c r="T920" s="31"/>
    </row>
    <row r="921">
      <c r="B921" s="138"/>
      <c r="T921" s="31"/>
    </row>
    <row r="922">
      <c r="B922" s="138"/>
      <c r="T922" s="31"/>
    </row>
    <row r="923">
      <c r="B923" s="138"/>
      <c r="T923" s="31"/>
    </row>
    <row r="924">
      <c r="B924" s="138"/>
      <c r="T924" s="31"/>
    </row>
    <row r="925">
      <c r="B925" s="138"/>
      <c r="T925" s="31"/>
    </row>
    <row r="926">
      <c r="B926" s="138"/>
      <c r="T926" s="31"/>
    </row>
    <row r="927">
      <c r="B927" s="138"/>
      <c r="T927" s="31"/>
    </row>
    <row r="928">
      <c r="B928" s="138"/>
      <c r="T928" s="31"/>
    </row>
    <row r="929">
      <c r="B929" s="138"/>
      <c r="T929" s="31"/>
    </row>
    <row r="930">
      <c r="B930" s="138"/>
      <c r="T930" s="31"/>
    </row>
    <row r="931">
      <c r="B931" s="138"/>
      <c r="T931" s="31"/>
    </row>
    <row r="932">
      <c r="B932" s="138"/>
      <c r="T932" s="31"/>
    </row>
    <row r="933">
      <c r="B933" s="138"/>
      <c r="T933" s="31"/>
    </row>
    <row r="934">
      <c r="B934" s="138"/>
      <c r="T934" s="31"/>
    </row>
    <row r="935">
      <c r="B935" s="138"/>
      <c r="T935" s="31"/>
    </row>
    <row r="936">
      <c r="B936" s="138"/>
      <c r="T936" s="31"/>
    </row>
    <row r="937">
      <c r="B937" s="138"/>
      <c r="T937" s="31"/>
    </row>
    <row r="938">
      <c r="B938" s="138"/>
      <c r="T938" s="31"/>
    </row>
  </sheetData>
  <mergeCells count="15">
    <mergeCell ref="H3:I3"/>
    <mergeCell ref="J3:L3"/>
    <mergeCell ref="M3:N3"/>
    <mergeCell ref="O3:P3"/>
    <mergeCell ref="R3:S3"/>
    <mergeCell ref="T3:U3"/>
    <mergeCell ref="V3:X3"/>
    <mergeCell ref="Y3:Z3"/>
    <mergeCell ref="B2:G2"/>
    <mergeCell ref="H2:N2"/>
    <mergeCell ref="O2:S2"/>
    <mergeCell ref="T2:Z2"/>
    <mergeCell ref="B3:C3"/>
    <mergeCell ref="D3:E3"/>
    <mergeCell ref="F3:G3"/>
  </mergeCells>
  <dataValidations>
    <dataValidation type="list" allowBlank="1" showErrorMessage="1" sqref="B24:Z24 B32:Z32">
      <formula1>"0%,100%"</formula1>
    </dataValidation>
  </dataValidation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32.0"/>
    <col customWidth="1" hidden="1" min="2" max="13" width="21.25"/>
    <col customWidth="1" min="14" max="27" width="21.25"/>
    <col customWidth="1" min="28" max="28" width="13.5"/>
  </cols>
  <sheetData>
    <row r="1" ht="30.0" customHeight="1">
      <c r="A1" s="1" t="s">
        <v>818</v>
      </c>
      <c r="B1" s="2"/>
      <c r="C1" s="3" t="s">
        <v>819</v>
      </c>
      <c r="D1" s="3"/>
      <c r="E1" s="3"/>
      <c r="F1" s="3"/>
      <c r="G1" s="3"/>
      <c r="H1" s="3"/>
      <c r="I1" s="3"/>
      <c r="J1" s="3"/>
      <c r="K1" s="3"/>
      <c r="L1" s="3"/>
      <c r="M1" s="3"/>
      <c r="N1" s="3"/>
      <c r="O1" s="3"/>
      <c r="P1" s="4"/>
      <c r="Q1" s="4"/>
      <c r="R1" s="4"/>
      <c r="S1" s="5"/>
      <c r="T1" s="4"/>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9"/>
      <c r="H2" s="10" t="s">
        <v>3</v>
      </c>
      <c r="I2" s="8"/>
      <c r="J2" s="8"/>
      <c r="K2" s="8"/>
      <c r="L2" s="8"/>
      <c r="M2" s="9"/>
      <c r="N2" s="10" t="s">
        <v>4</v>
      </c>
      <c r="O2" s="8"/>
      <c r="P2" s="8"/>
      <c r="Q2" s="8"/>
      <c r="R2" s="8"/>
      <c r="S2" s="8"/>
      <c r="T2" s="9"/>
      <c r="U2" s="467" t="s">
        <v>5</v>
      </c>
      <c r="V2" s="8"/>
      <c r="W2" s="8"/>
      <c r="X2" s="8"/>
      <c r="Y2" s="8"/>
      <c r="Z2" s="8"/>
      <c r="AA2" s="509"/>
      <c r="AB2" s="12"/>
      <c r="AC2" s="12"/>
      <c r="AD2" s="12"/>
      <c r="AE2" s="12"/>
      <c r="AF2" s="12"/>
      <c r="AG2" s="12"/>
      <c r="AH2" s="12"/>
      <c r="AI2" s="12"/>
      <c r="AJ2" s="12"/>
      <c r="AK2" s="12"/>
      <c r="AL2" s="12"/>
      <c r="AM2" s="12"/>
      <c r="AN2" s="12"/>
    </row>
    <row r="3">
      <c r="A3" s="6" t="s">
        <v>6</v>
      </c>
      <c r="B3" s="13" t="s">
        <v>7</v>
      </c>
      <c r="C3" s="14"/>
      <c r="D3" s="15" t="s">
        <v>8</v>
      </c>
      <c r="E3" s="9"/>
      <c r="F3" s="10" t="s">
        <v>9</v>
      </c>
      <c r="G3" s="9"/>
      <c r="H3" s="15" t="s">
        <v>10</v>
      </c>
      <c r="I3" s="9"/>
      <c r="J3" s="10" t="s">
        <v>11</v>
      </c>
      <c r="K3" s="9"/>
      <c r="L3" s="16" t="s">
        <v>12</v>
      </c>
      <c r="M3" s="9"/>
      <c r="N3" s="10" t="s">
        <v>13</v>
      </c>
      <c r="O3" s="9"/>
      <c r="P3" s="15" t="s">
        <v>14</v>
      </c>
      <c r="Q3" s="9"/>
      <c r="R3" s="10" t="s">
        <v>15</v>
      </c>
      <c r="S3" s="8"/>
      <c r="T3" s="9"/>
      <c r="U3" s="16" t="s">
        <v>16</v>
      </c>
      <c r="V3" s="9"/>
      <c r="W3" s="10" t="s">
        <v>17</v>
      </c>
      <c r="X3" s="8"/>
      <c r="Y3" s="9"/>
      <c r="Z3" s="16" t="s">
        <v>18</v>
      </c>
      <c r="AA3" s="509"/>
      <c r="AB3" s="12"/>
      <c r="AC3" s="12"/>
      <c r="AD3" s="12"/>
      <c r="AE3" s="12"/>
      <c r="AF3" s="12"/>
      <c r="AG3" s="12"/>
      <c r="AH3" s="12"/>
      <c r="AI3" s="12"/>
      <c r="AJ3" s="12"/>
      <c r="AK3" s="12"/>
      <c r="AL3" s="12"/>
      <c r="AM3" s="12"/>
      <c r="AN3" s="12"/>
    </row>
    <row r="4">
      <c r="A4" s="6" t="s">
        <v>19</v>
      </c>
      <c r="B4" s="18" t="s">
        <v>820</v>
      </c>
      <c r="C4" s="18" t="s">
        <v>821</v>
      </c>
      <c r="D4" s="18" t="s">
        <v>822</v>
      </c>
      <c r="E4" s="18" t="s">
        <v>823</v>
      </c>
      <c r="F4" s="18" t="s">
        <v>824</v>
      </c>
      <c r="G4" s="18" t="s">
        <v>825</v>
      </c>
      <c r="H4" s="18" t="s">
        <v>826</v>
      </c>
      <c r="I4" s="206" t="s">
        <v>827</v>
      </c>
      <c r="J4" s="206" t="s">
        <v>828</v>
      </c>
      <c r="K4" s="206" t="s">
        <v>829</v>
      </c>
      <c r="L4" s="206" t="s">
        <v>830</v>
      </c>
      <c r="M4" s="206" t="s">
        <v>831</v>
      </c>
      <c r="N4" s="206" t="s">
        <v>832</v>
      </c>
      <c r="O4" s="470" t="s">
        <v>833</v>
      </c>
      <c r="P4" s="470" t="s">
        <v>834</v>
      </c>
      <c r="Q4" s="470" t="s">
        <v>835</v>
      </c>
      <c r="R4" s="470" t="s">
        <v>836</v>
      </c>
      <c r="S4" s="470" t="s">
        <v>837</v>
      </c>
      <c r="T4" s="470" t="s">
        <v>838</v>
      </c>
      <c r="U4" s="510" t="s">
        <v>839</v>
      </c>
      <c r="V4" s="19"/>
      <c r="W4" s="19"/>
      <c r="X4" s="19"/>
      <c r="Y4" s="19"/>
      <c r="Z4" s="19"/>
      <c r="AA4" s="511"/>
      <c r="AB4" s="12"/>
      <c r="AC4" s="12"/>
      <c r="AD4" s="12"/>
      <c r="AE4" s="12"/>
      <c r="AF4" s="12"/>
      <c r="AG4" s="12"/>
      <c r="AH4" s="12"/>
      <c r="AI4" s="12"/>
      <c r="AJ4" s="12"/>
      <c r="AK4" s="12"/>
      <c r="AL4" s="12"/>
      <c r="AM4" s="12"/>
      <c r="AN4" s="12"/>
    </row>
    <row r="5">
      <c r="A5" s="22" t="s">
        <v>20</v>
      </c>
      <c r="B5" s="512" t="s">
        <v>840</v>
      </c>
      <c r="C5" s="512" t="s">
        <v>841</v>
      </c>
      <c r="D5" s="513" t="s">
        <v>842</v>
      </c>
      <c r="E5" s="512" t="s">
        <v>843</v>
      </c>
      <c r="F5" s="512" t="s">
        <v>844</v>
      </c>
      <c r="G5" s="512" t="s">
        <v>845</v>
      </c>
      <c r="H5" s="514" t="s">
        <v>846</v>
      </c>
      <c r="I5" s="514" t="s">
        <v>847</v>
      </c>
      <c r="J5" s="514" t="s">
        <v>848</v>
      </c>
      <c r="K5" s="514" t="s">
        <v>849</v>
      </c>
      <c r="L5" s="514" t="s">
        <v>850</v>
      </c>
      <c r="M5" s="514" t="s">
        <v>851</v>
      </c>
      <c r="N5" s="514" t="s">
        <v>852</v>
      </c>
      <c r="O5" s="515" t="s">
        <v>853</v>
      </c>
      <c r="P5" s="515" t="s">
        <v>854</v>
      </c>
      <c r="Q5" s="516" t="s">
        <v>855</v>
      </c>
      <c r="R5" s="516" t="s">
        <v>856</v>
      </c>
      <c r="S5" s="515" t="s">
        <v>857</v>
      </c>
      <c r="T5" s="515" t="s">
        <v>858</v>
      </c>
      <c r="U5" s="515" t="s">
        <v>859</v>
      </c>
      <c r="V5" s="25"/>
      <c r="W5" s="24"/>
      <c r="X5" s="24"/>
      <c r="Y5" s="24"/>
      <c r="Z5" s="25"/>
      <c r="AA5" s="517"/>
      <c r="AB5" s="27"/>
      <c r="AC5" s="28"/>
      <c r="AD5" s="28"/>
      <c r="AE5" s="28"/>
      <c r="AF5" s="28"/>
      <c r="AG5" s="28"/>
      <c r="AH5" s="28"/>
      <c r="AI5" s="28"/>
      <c r="AJ5" s="28"/>
      <c r="AK5" s="28"/>
      <c r="AL5" s="28"/>
      <c r="AM5" s="28"/>
      <c r="AN5" s="28"/>
    </row>
    <row r="6">
      <c r="A6" s="29"/>
      <c r="B6" s="30"/>
      <c r="AA6" s="518"/>
      <c r="AD6" s="519"/>
    </row>
    <row r="7">
      <c r="A7" s="32" t="s">
        <v>21</v>
      </c>
      <c r="B7" s="33">
        <v>406.0</v>
      </c>
      <c r="C7" s="34">
        <v>420.0</v>
      </c>
      <c r="D7" s="34">
        <v>458.0</v>
      </c>
      <c r="E7" s="34">
        <v>431.0</v>
      </c>
      <c r="F7" s="34">
        <v>404.0</v>
      </c>
      <c r="G7" s="34">
        <v>391.0</v>
      </c>
      <c r="H7" s="34">
        <v>350.0</v>
      </c>
      <c r="I7" s="34">
        <v>370.0</v>
      </c>
      <c r="J7" s="34">
        <v>351.0</v>
      </c>
      <c r="K7" s="34">
        <v>343.0</v>
      </c>
      <c r="L7" s="34">
        <v>355.0</v>
      </c>
      <c r="M7" s="34">
        <v>252.0</v>
      </c>
      <c r="N7" s="34">
        <v>390.0</v>
      </c>
      <c r="O7" s="34">
        <v>376.0</v>
      </c>
      <c r="P7" s="34">
        <v>374.0</v>
      </c>
      <c r="Q7" s="34">
        <v>294.0</v>
      </c>
      <c r="R7" s="34">
        <v>343.0</v>
      </c>
      <c r="S7" s="34">
        <v>411.0</v>
      </c>
      <c r="T7" s="34">
        <v>499.0</v>
      </c>
      <c r="U7" s="520">
        <v>441.0</v>
      </c>
      <c r="V7" s="34"/>
      <c r="W7" s="34"/>
      <c r="X7" s="34"/>
      <c r="Y7" s="34"/>
      <c r="Z7" s="34"/>
      <c r="AA7" s="34"/>
    </row>
    <row r="8">
      <c r="A8" s="37" t="s">
        <v>22</v>
      </c>
      <c r="B8" s="38">
        <v>392.0</v>
      </c>
      <c r="C8" s="39">
        <v>396.0</v>
      </c>
      <c r="D8" s="39">
        <v>409.0</v>
      </c>
      <c r="E8" s="39">
        <v>352.0</v>
      </c>
      <c r="F8" s="39">
        <v>362.0</v>
      </c>
      <c r="G8" s="39">
        <v>347.0</v>
      </c>
      <c r="H8" s="39">
        <v>320.0</v>
      </c>
      <c r="I8" s="39">
        <v>328.0</v>
      </c>
      <c r="J8" s="39">
        <v>333.0</v>
      </c>
      <c r="K8" s="39">
        <v>293.0</v>
      </c>
      <c r="L8" s="39">
        <v>333.0</v>
      </c>
      <c r="M8" s="39">
        <v>209.0</v>
      </c>
      <c r="N8" s="39">
        <v>340.0</v>
      </c>
      <c r="O8" s="39">
        <v>340.0</v>
      </c>
      <c r="P8" s="39">
        <v>333.0</v>
      </c>
      <c r="Q8" s="39">
        <v>251.0</v>
      </c>
      <c r="R8" s="39">
        <v>305.0</v>
      </c>
      <c r="S8" s="39">
        <v>369.0</v>
      </c>
      <c r="T8" s="39">
        <v>414.0</v>
      </c>
      <c r="U8" s="521">
        <v>399.0</v>
      </c>
      <c r="V8" s="39"/>
      <c r="W8" s="39"/>
      <c r="X8" s="39"/>
      <c r="Y8" s="39"/>
      <c r="Z8" s="39"/>
      <c r="AA8" s="39"/>
    </row>
    <row r="9">
      <c r="A9" s="37" t="s">
        <v>23</v>
      </c>
      <c r="B9" s="38">
        <v>14.0</v>
      </c>
      <c r="C9" s="39">
        <v>21.0</v>
      </c>
      <c r="D9" s="39">
        <v>21.0</v>
      </c>
      <c r="E9" s="39">
        <v>79.0</v>
      </c>
      <c r="F9" s="39">
        <v>42.0</v>
      </c>
      <c r="G9" s="39">
        <v>42.0</v>
      </c>
      <c r="H9" s="39">
        <v>27.0</v>
      </c>
      <c r="I9" s="39">
        <v>63.0</v>
      </c>
      <c r="J9" s="39">
        <v>18.0</v>
      </c>
      <c r="K9" s="39">
        <v>71.0</v>
      </c>
      <c r="L9" s="39">
        <v>6.0</v>
      </c>
      <c r="M9" s="39">
        <v>52.0</v>
      </c>
      <c r="N9" s="39">
        <v>50.0</v>
      </c>
      <c r="O9" s="39">
        <v>36.0</v>
      </c>
      <c r="P9" s="39">
        <v>49.0</v>
      </c>
      <c r="Q9" s="39">
        <v>43.0</v>
      </c>
      <c r="R9" s="39">
        <v>43.0</v>
      </c>
      <c r="S9" s="39">
        <v>47.0</v>
      </c>
      <c r="T9" s="39">
        <v>94.0</v>
      </c>
      <c r="U9" s="496">
        <v>46.0</v>
      </c>
      <c r="V9" s="39"/>
      <c r="W9" s="39"/>
      <c r="X9" s="39"/>
      <c r="Y9" s="39"/>
      <c r="Z9" s="39"/>
      <c r="AA9" s="39"/>
    </row>
    <row r="10">
      <c r="A10" s="42" t="s">
        <v>24</v>
      </c>
      <c r="B10" s="43">
        <f t="shared" ref="B10:AA10" si="1">IFERROR(B9/B7, 0)</f>
        <v>0.03448275862</v>
      </c>
      <c r="C10" s="43">
        <f t="shared" si="1"/>
        <v>0.05</v>
      </c>
      <c r="D10" s="43">
        <f t="shared" si="1"/>
        <v>0.04585152838</v>
      </c>
      <c r="E10" s="522">
        <f t="shared" si="1"/>
        <v>0.1832946636</v>
      </c>
      <c r="F10" s="522">
        <f t="shared" si="1"/>
        <v>0.103960396</v>
      </c>
      <c r="G10" s="522">
        <f t="shared" si="1"/>
        <v>0.1074168798</v>
      </c>
      <c r="H10" s="522">
        <f t="shared" si="1"/>
        <v>0.07714285714</v>
      </c>
      <c r="I10" s="522">
        <f t="shared" si="1"/>
        <v>0.1702702703</v>
      </c>
      <c r="J10" s="522">
        <f t="shared" si="1"/>
        <v>0.05128205128</v>
      </c>
      <c r="K10" s="522">
        <f t="shared" si="1"/>
        <v>0.2069970845</v>
      </c>
      <c r="L10" s="522">
        <f t="shared" si="1"/>
        <v>0.01690140845</v>
      </c>
      <c r="M10" s="522">
        <f t="shared" si="1"/>
        <v>0.2063492063</v>
      </c>
      <c r="N10" s="523">
        <f t="shared" si="1"/>
        <v>0.1282051282</v>
      </c>
      <c r="O10" s="523">
        <f t="shared" si="1"/>
        <v>0.09574468085</v>
      </c>
      <c r="P10" s="523">
        <f t="shared" si="1"/>
        <v>0.1310160428</v>
      </c>
      <c r="Q10" s="523">
        <f t="shared" si="1"/>
        <v>0.1462585034</v>
      </c>
      <c r="R10" s="523">
        <f t="shared" si="1"/>
        <v>0.1253644315</v>
      </c>
      <c r="S10" s="523">
        <f t="shared" si="1"/>
        <v>0.1143552311</v>
      </c>
      <c r="T10" s="523">
        <f t="shared" si="1"/>
        <v>0.1883767535</v>
      </c>
      <c r="U10" s="523">
        <f t="shared" si="1"/>
        <v>0.10430839</v>
      </c>
      <c r="V10" s="523">
        <f t="shared" si="1"/>
        <v>0</v>
      </c>
      <c r="W10" s="523">
        <f t="shared" si="1"/>
        <v>0</v>
      </c>
      <c r="X10" s="523">
        <f t="shared" si="1"/>
        <v>0</v>
      </c>
      <c r="Y10" s="523">
        <f t="shared" si="1"/>
        <v>0</v>
      </c>
      <c r="Z10" s="523">
        <f t="shared" si="1"/>
        <v>0</v>
      </c>
      <c r="AA10" s="523">
        <f t="shared" si="1"/>
        <v>0</v>
      </c>
    </row>
    <row r="11">
      <c r="A11" s="40"/>
      <c r="B11" s="46"/>
      <c r="C11" s="40"/>
      <c r="D11" s="40"/>
      <c r="E11" s="40"/>
      <c r="F11" s="40"/>
      <c r="G11" s="40"/>
      <c r="H11" s="40"/>
      <c r="I11" s="40"/>
      <c r="J11" s="40"/>
      <c r="K11" s="40"/>
      <c r="L11" s="40"/>
      <c r="M11" s="40"/>
      <c r="N11" s="40"/>
      <c r="O11" s="40"/>
      <c r="P11" s="40"/>
      <c r="Q11" s="40"/>
      <c r="R11" s="40"/>
      <c r="S11" s="40"/>
      <c r="T11" s="40"/>
      <c r="U11" s="40"/>
      <c r="V11" s="40"/>
      <c r="W11" s="40"/>
      <c r="X11" s="40"/>
      <c r="Y11" s="40"/>
      <c r="Z11" s="40"/>
      <c r="AA11" s="39"/>
    </row>
    <row r="12">
      <c r="A12" s="48" t="s">
        <v>25</v>
      </c>
      <c r="B12" s="33">
        <v>29.0</v>
      </c>
      <c r="C12" s="34">
        <v>14.0</v>
      </c>
      <c r="D12" s="34">
        <v>40.0</v>
      </c>
      <c r="E12" s="34">
        <v>76.0</v>
      </c>
      <c r="F12" s="34">
        <v>58.0</v>
      </c>
      <c r="G12" s="34">
        <v>38.0</v>
      </c>
      <c r="H12" s="34">
        <v>24.0</v>
      </c>
      <c r="I12" s="34">
        <v>74.0</v>
      </c>
      <c r="J12" s="34">
        <v>16.0</v>
      </c>
      <c r="K12" s="34">
        <v>52.0</v>
      </c>
      <c r="L12" s="34">
        <v>73.0</v>
      </c>
      <c r="M12" s="34">
        <v>43.0</v>
      </c>
      <c r="N12" s="34">
        <v>72.0</v>
      </c>
      <c r="O12" s="34">
        <v>93.0</v>
      </c>
      <c r="P12" s="34">
        <v>40.0</v>
      </c>
      <c r="Q12" s="34">
        <v>32.0</v>
      </c>
      <c r="R12" s="34">
        <v>40.0</v>
      </c>
      <c r="S12" s="34">
        <v>30.0</v>
      </c>
      <c r="T12" s="34">
        <v>95.0</v>
      </c>
      <c r="U12" s="34">
        <v>86.0</v>
      </c>
      <c r="V12" s="34"/>
      <c r="W12" s="34"/>
      <c r="X12" s="34"/>
      <c r="Y12" s="34"/>
      <c r="Z12" s="34"/>
      <c r="AA12" s="34"/>
    </row>
    <row r="13">
      <c r="A13" s="53" t="s">
        <v>26</v>
      </c>
      <c r="B13" s="38">
        <v>28.0</v>
      </c>
      <c r="C13" s="39">
        <v>5.0</v>
      </c>
      <c r="D13" s="39">
        <v>9.0</v>
      </c>
      <c r="E13" s="39">
        <v>36.0</v>
      </c>
      <c r="F13" s="39">
        <v>22.0</v>
      </c>
      <c r="G13" s="39">
        <v>15.0</v>
      </c>
      <c r="H13" s="39">
        <v>29.0</v>
      </c>
      <c r="I13" s="39">
        <v>39.0</v>
      </c>
      <c r="J13" s="39">
        <v>15.0</v>
      </c>
      <c r="K13" s="39">
        <v>20.0</v>
      </c>
      <c r="L13" s="39">
        <v>73.0</v>
      </c>
      <c r="M13" s="39">
        <v>30.0</v>
      </c>
      <c r="N13" s="39">
        <v>58.0</v>
      </c>
      <c r="O13" s="39">
        <v>53.0</v>
      </c>
      <c r="P13" s="39">
        <v>50.0</v>
      </c>
      <c r="Q13" s="39">
        <v>11.0</v>
      </c>
      <c r="R13" s="39">
        <v>52.0</v>
      </c>
      <c r="S13" s="39">
        <v>29.0</v>
      </c>
      <c r="T13" s="39">
        <v>60.0</v>
      </c>
      <c r="U13" s="39">
        <v>50.0</v>
      </c>
      <c r="V13" s="39"/>
      <c r="W13" s="39"/>
      <c r="X13" s="39"/>
      <c r="Y13" s="39"/>
      <c r="Z13" s="39"/>
      <c r="AA13" s="39"/>
    </row>
    <row r="14">
      <c r="A14" s="58" t="s">
        <v>27</v>
      </c>
      <c r="B14" s="524">
        <v>6.0</v>
      </c>
      <c r="C14" s="525">
        <v>21.0</v>
      </c>
      <c r="D14" s="525">
        <v>28.0</v>
      </c>
      <c r="E14" s="525">
        <v>74.0</v>
      </c>
      <c r="F14" s="525">
        <v>36.0</v>
      </c>
      <c r="G14" s="525">
        <v>21.0</v>
      </c>
      <c r="H14" s="525">
        <v>27.0</v>
      </c>
      <c r="I14" s="525">
        <v>42.0</v>
      </c>
      <c r="J14" s="525">
        <v>4.0</v>
      </c>
      <c r="K14" s="525">
        <v>35.0</v>
      </c>
      <c r="L14" s="525">
        <v>3.0</v>
      </c>
      <c r="M14" s="525">
        <v>24.0</v>
      </c>
      <c r="N14" s="525">
        <v>24.0</v>
      </c>
      <c r="O14" s="525">
        <v>40.0</v>
      </c>
      <c r="P14" s="525">
        <v>5.0</v>
      </c>
      <c r="Q14" s="525">
        <v>24.0</v>
      </c>
      <c r="R14" s="525">
        <v>5.0</v>
      </c>
      <c r="S14" s="525">
        <v>29.0</v>
      </c>
      <c r="T14" s="525">
        <v>32.0</v>
      </c>
      <c r="U14" s="525">
        <v>46.0</v>
      </c>
      <c r="V14" s="525"/>
      <c r="W14" s="525"/>
      <c r="X14" s="525"/>
      <c r="Y14" s="525"/>
      <c r="Z14" s="525"/>
      <c r="AA14" s="525"/>
    </row>
    <row r="15">
      <c r="A15" s="56"/>
      <c r="B15" s="46"/>
      <c r="C15" s="40"/>
      <c r="D15" s="40"/>
      <c r="E15" s="40"/>
      <c r="F15" s="40"/>
      <c r="G15" s="40"/>
      <c r="H15" s="40"/>
      <c r="I15" s="40"/>
      <c r="J15" s="40"/>
      <c r="K15" s="40"/>
      <c r="L15" s="40"/>
      <c r="M15" s="40"/>
      <c r="N15" s="40"/>
      <c r="O15" s="40"/>
      <c r="P15" s="40"/>
      <c r="Q15" s="40"/>
      <c r="R15" s="40"/>
      <c r="S15" s="40"/>
      <c r="T15" s="40"/>
      <c r="U15" s="40"/>
      <c r="V15" s="40"/>
      <c r="W15" s="40"/>
      <c r="X15" s="40"/>
      <c r="Y15" s="40"/>
      <c r="Z15" s="40"/>
      <c r="AA15" s="39"/>
    </row>
    <row r="16" hidden="1">
      <c r="A16" s="65" t="s">
        <v>28</v>
      </c>
      <c r="B16" s="526"/>
      <c r="C16" s="165"/>
      <c r="D16" s="165"/>
      <c r="E16" s="165"/>
      <c r="F16" s="165"/>
      <c r="G16" s="165"/>
      <c r="H16" s="165"/>
      <c r="I16" s="165"/>
      <c r="J16" s="165"/>
      <c r="K16" s="165"/>
      <c r="L16" s="165"/>
      <c r="M16" s="165"/>
      <c r="N16" s="165"/>
      <c r="O16" s="165"/>
      <c r="P16" s="165"/>
      <c r="Q16" s="165"/>
      <c r="R16" s="165"/>
      <c r="S16" s="165"/>
      <c r="T16" s="527"/>
      <c r="U16" s="527"/>
      <c r="V16" s="165"/>
      <c r="W16" s="165"/>
      <c r="X16" s="165"/>
      <c r="Y16" s="165"/>
      <c r="Z16" s="165"/>
      <c r="AA16" s="165"/>
    </row>
    <row r="17" hidden="1">
      <c r="A17" s="65" t="s">
        <v>29</v>
      </c>
      <c r="B17" s="526"/>
      <c r="C17" s="165"/>
      <c r="D17" s="165"/>
      <c r="E17" s="165"/>
      <c r="F17" s="165"/>
      <c r="G17" s="165"/>
      <c r="H17" s="165"/>
      <c r="I17" s="165"/>
      <c r="J17" s="165"/>
      <c r="K17" s="165"/>
      <c r="L17" s="165"/>
      <c r="M17" s="165"/>
      <c r="N17" s="165"/>
      <c r="O17" s="165"/>
      <c r="P17" s="165"/>
      <c r="Q17" s="165"/>
      <c r="R17" s="165"/>
      <c r="S17" s="165"/>
      <c r="T17" s="527"/>
      <c r="U17" s="527"/>
      <c r="V17" s="165"/>
      <c r="W17" s="165"/>
      <c r="X17" s="165"/>
      <c r="Y17" s="165"/>
      <c r="Z17" s="165"/>
      <c r="AA17" s="165"/>
    </row>
    <row r="18">
      <c r="A18" s="69" t="s">
        <v>860</v>
      </c>
      <c r="B18" s="46">
        <v>122.0</v>
      </c>
      <c r="C18" s="40">
        <v>183.0</v>
      </c>
      <c r="D18" s="40">
        <v>243.0</v>
      </c>
      <c r="E18" s="40">
        <v>217.0</v>
      </c>
      <c r="F18" s="40">
        <v>158.0</v>
      </c>
      <c r="G18" s="40">
        <v>161.0</v>
      </c>
      <c r="H18" s="40">
        <v>89.0</v>
      </c>
      <c r="I18" s="40">
        <v>125.0</v>
      </c>
      <c r="J18" s="40">
        <v>112.0</v>
      </c>
      <c r="K18" s="40">
        <v>199.0</v>
      </c>
      <c r="L18" s="40">
        <v>198.0</v>
      </c>
      <c r="M18" s="40">
        <v>48.0</v>
      </c>
      <c r="N18" s="40">
        <v>163.0</v>
      </c>
      <c r="O18" s="40">
        <v>81.0</v>
      </c>
      <c r="P18" s="40">
        <v>38.0</v>
      </c>
      <c r="Q18" s="40">
        <v>35.0</v>
      </c>
      <c r="R18" s="40">
        <v>73.0</v>
      </c>
      <c r="S18" s="199">
        <v>123.0</v>
      </c>
      <c r="T18" s="40">
        <v>130.0</v>
      </c>
      <c r="U18" s="528">
        <v>129.0</v>
      </c>
      <c r="V18" s="40"/>
      <c r="W18" s="40"/>
      <c r="X18" s="40"/>
      <c r="Y18" s="40"/>
      <c r="Z18" s="40"/>
      <c r="AA18" s="529"/>
      <c r="AB18" s="73"/>
      <c r="AC18" s="73"/>
      <c r="AD18" s="73"/>
      <c r="AE18" s="73"/>
      <c r="AF18" s="73"/>
      <c r="AG18" s="73"/>
      <c r="AH18" s="73"/>
      <c r="AI18" s="73"/>
      <c r="AJ18" s="73"/>
      <c r="AK18" s="73"/>
      <c r="AL18" s="73"/>
      <c r="AM18" s="73"/>
      <c r="AN18" s="73"/>
    </row>
    <row r="19">
      <c r="A19" s="74" t="s">
        <v>31</v>
      </c>
      <c r="B19" s="46">
        <v>250.0</v>
      </c>
      <c r="C19" s="40">
        <v>293.0</v>
      </c>
      <c r="D19" s="40">
        <v>369.0</v>
      </c>
      <c r="E19" s="40">
        <v>350.0</v>
      </c>
      <c r="F19" s="40">
        <v>275.0</v>
      </c>
      <c r="G19" s="40">
        <v>345.0</v>
      </c>
      <c r="H19" s="40">
        <v>181.0</v>
      </c>
      <c r="I19" s="40">
        <v>214.0</v>
      </c>
      <c r="J19" s="40">
        <v>186.0</v>
      </c>
      <c r="K19" s="40">
        <v>267.0</v>
      </c>
      <c r="L19" s="40">
        <v>241.0</v>
      </c>
      <c r="M19" s="40">
        <v>135.0</v>
      </c>
      <c r="N19" s="40">
        <v>320.0</v>
      </c>
      <c r="O19" s="40">
        <v>194.0</v>
      </c>
      <c r="P19" s="40">
        <v>149.0</v>
      </c>
      <c r="Q19" s="40">
        <v>101.0</v>
      </c>
      <c r="R19" s="40">
        <v>202.0</v>
      </c>
      <c r="S19" s="199">
        <v>227.0</v>
      </c>
      <c r="T19" s="40">
        <v>397.0</v>
      </c>
      <c r="U19" s="528">
        <v>292.0</v>
      </c>
      <c r="V19" s="40"/>
      <c r="W19" s="40"/>
      <c r="X19" s="40"/>
      <c r="Y19" s="40"/>
      <c r="Z19" s="40"/>
      <c r="AA19" s="529"/>
      <c r="AB19" s="78"/>
      <c r="AC19" s="78"/>
      <c r="AD19" s="78"/>
      <c r="AE19" s="78"/>
      <c r="AF19" s="78"/>
      <c r="AG19" s="78"/>
      <c r="AH19" s="78"/>
      <c r="AI19" s="78"/>
      <c r="AJ19" s="78"/>
      <c r="AK19" s="78"/>
      <c r="AL19" s="78"/>
      <c r="AM19" s="78"/>
      <c r="AN19" s="78"/>
    </row>
    <row r="20">
      <c r="A20" s="74" t="s">
        <v>861</v>
      </c>
      <c r="B20" s="46">
        <v>159.0</v>
      </c>
      <c r="C20" s="40">
        <v>204.0</v>
      </c>
      <c r="D20" s="40">
        <v>293.0</v>
      </c>
      <c r="E20" s="40">
        <v>291.0</v>
      </c>
      <c r="F20" s="40">
        <v>199.0</v>
      </c>
      <c r="G20" s="40">
        <v>269.0</v>
      </c>
      <c r="H20" s="40">
        <v>115.0</v>
      </c>
      <c r="I20" s="40">
        <v>141.0</v>
      </c>
      <c r="J20" s="40">
        <v>128.0</v>
      </c>
      <c r="K20" s="40">
        <v>224.0</v>
      </c>
      <c r="L20" s="40">
        <v>198.0</v>
      </c>
      <c r="M20" s="40">
        <v>72.0</v>
      </c>
      <c r="N20" s="40">
        <v>224.0</v>
      </c>
      <c r="O20" s="40">
        <v>115.0</v>
      </c>
      <c r="P20" s="40">
        <v>80.0</v>
      </c>
      <c r="Q20" s="40">
        <v>56.0</v>
      </c>
      <c r="R20" s="40">
        <v>127.0</v>
      </c>
      <c r="S20" s="199">
        <v>127.0</v>
      </c>
      <c r="T20" s="40">
        <v>225.0</v>
      </c>
      <c r="U20" s="528">
        <f>24+169</f>
        <v>193</v>
      </c>
      <c r="V20" s="40"/>
      <c r="W20" s="40"/>
      <c r="X20" s="40"/>
      <c r="Y20" s="40"/>
      <c r="Z20" s="40"/>
      <c r="AA20" s="529"/>
      <c r="AB20" s="78"/>
      <c r="AC20" s="78"/>
      <c r="AD20" s="78"/>
      <c r="AE20" s="78"/>
      <c r="AF20" s="78"/>
      <c r="AG20" s="78"/>
      <c r="AH20" s="78"/>
      <c r="AI20" s="78"/>
      <c r="AJ20" s="78"/>
      <c r="AK20" s="78"/>
      <c r="AL20" s="78"/>
      <c r="AM20" s="78"/>
      <c r="AN20" s="78"/>
    </row>
    <row r="21">
      <c r="A21" s="69" t="s">
        <v>32</v>
      </c>
      <c r="B21" s="46">
        <v>122.0</v>
      </c>
      <c r="C21" s="40">
        <v>183.0</v>
      </c>
      <c r="D21" s="40">
        <v>54.0</v>
      </c>
      <c r="E21" s="40">
        <v>217.0</v>
      </c>
      <c r="F21" s="40">
        <v>158.0</v>
      </c>
      <c r="G21" s="40">
        <v>106.0</v>
      </c>
      <c r="H21" s="40">
        <v>89.0</v>
      </c>
      <c r="I21" s="40">
        <v>125.0</v>
      </c>
      <c r="J21" s="40">
        <v>112.0</v>
      </c>
      <c r="K21" s="40">
        <v>199.0</v>
      </c>
      <c r="L21" s="40">
        <v>169.0</v>
      </c>
      <c r="M21" s="40">
        <v>48.0</v>
      </c>
      <c r="N21" s="530">
        <v>153.0</v>
      </c>
      <c r="O21" s="40">
        <v>81.0</v>
      </c>
      <c r="P21" s="40">
        <v>38.0</v>
      </c>
      <c r="Q21" s="40">
        <v>35.0</v>
      </c>
      <c r="R21" s="40">
        <v>73.0</v>
      </c>
      <c r="S21" s="199">
        <v>123.0</v>
      </c>
      <c r="T21" s="40">
        <v>130.0</v>
      </c>
      <c r="U21" s="531">
        <v>105.0</v>
      </c>
      <c r="V21" s="40"/>
      <c r="W21" s="40"/>
      <c r="X21" s="40"/>
      <c r="Y21" s="40"/>
      <c r="Z21" s="40"/>
      <c r="AA21" s="529"/>
      <c r="AB21" s="73"/>
      <c r="AC21" s="73"/>
      <c r="AD21" s="73"/>
      <c r="AE21" s="73"/>
      <c r="AF21" s="73"/>
      <c r="AG21" s="73"/>
      <c r="AH21" s="73"/>
      <c r="AI21" s="73"/>
      <c r="AJ21" s="73"/>
      <c r="AK21" s="73"/>
      <c r="AL21" s="73"/>
      <c r="AM21" s="73"/>
      <c r="AN21" s="73"/>
    </row>
    <row r="22">
      <c r="A22" s="79" t="s">
        <v>33</v>
      </c>
      <c r="B22" s="46">
        <v>156.0</v>
      </c>
      <c r="C22" s="46">
        <v>127.0</v>
      </c>
      <c r="D22" s="46">
        <v>89.0</v>
      </c>
      <c r="E22" s="46">
        <v>81.0</v>
      </c>
      <c r="F22" s="40">
        <v>129.0</v>
      </c>
      <c r="G22" s="40">
        <v>59.0</v>
      </c>
      <c r="H22" s="40">
        <v>169.0</v>
      </c>
      <c r="I22" s="40">
        <v>156.0</v>
      </c>
      <c r="J22" s="40">
        <v>165.0</v>
      </c>
      <c r="K22" s="40">
        <v>136.0</v>
      </c>
      <c r="L22" s="40">
        <v>114.0</v>
      </c>
      <c r="M22" s="40">
        <v>125.0</v>
      </c>
      <c r="N22" s="40">
        <v>70.0</v>
      </c>
      <c r="O22" s="40">
        <v>182.0</v>
      </c>
      <c r="P22" s="40">
        <v>225.0</v>
      </c>
      <c r="Q22" s="40">
        <v>193.0</v>
      </c>
      <c r="R22" s="40">
        <v>141.0</v>
      </c>
      <c r="S22" s="40">
        <v>197.0</v>
      </c>
      <c r="T22" s="40">
        <v>102.0</v>
      </c>
      <c r="U22" s="40">
        <v>186.0</v>
      </c>
      <c r="V22" s="40"/>
      <c r="W22" s="40"/>
      <c r="X22" s="40"/>
      <c r="Y22" s="40"/>
      <c r="Z22" s="40"/>
      <c r="AA22" s="39"/>
    </row>
    <row r="23">
      <c r="A23" s="82" t="s">
        <v>862</v>
      </c>
      <c r="B23" s="46">
        <v>233.0</v>
      </c>
      <c r="C23" s="46">
        <v>247.0</v>
      </c>
      <c r="D23" s="532">
        <v>244.0</v>
      </c>
      <c r="E23" s="532">
        <v>177.0</v>
      </c>
      <c r="F23" s="532">
        <v>236.0</v>
      </c>
      <c r="G23" s="532">
        <v>263.0</v>
      </c>
      <c r="H23" s="532">
        <v>217.0</v>
      </c>
      <c r="I23" s="532">
        <v>168.0</v>
      </c>
      <c r="J23" s="532">
        <v>206.0</v>
      </c>
      <c r="K23" s="532">
        <v>216.0</v>
      </c>
      <c r="L23" s="532">
        <v>256.0</v>
      </c>
      <c r="M23" s="532">
        <v>131.0</v>
      </c>
      <c r="N23" s="532">
        <v>202.0</v>
      </c>
      <c r="O23" s="532">
        <v>237.0</v>
      </c>
      <c r="P23" s="40">
        <v>164.0</v>
      </c>
      <c r="Q23" s="532">
        <v>141.0</v>
      </c>
      <c r="R23" s="532">
        <v>152.0</v>
      </c>
      <c r="S23" s="532">
        <v>288.0</v>
      </c>
      <c r="T23" s="532">
        <v>263.0</v>
      </c>
      <c r="U23" s="532">
        <v>221.0</v>
      </c>
      <c r="V23" s="532"/>
      <c r="W23" s="532"/>
      <c r="X23" s="532"/>
      <c r="Y23" s="532"/>
      <c r="Z23" s="532"/>
      <c r="AA23" s="529"/>
      <c r="AB23" s="87"/>
      <c r="AC23" s="88"/>
      <c r="AD23" s="88"/>
      <c r="AE23" s="88"/>
      <c r="AF23" s="88"/>
      <c r="AG23" s="88"/>
      <c r="AH23" s="88"/>
      <c r="AI23" s="88"/>
      <c r="AJ23" s="88"/>
      <c r="AK23" s="88"/>
      <c r="AL23" s="88"/>
      <c r="AM23" s="89"/>
      <c r="AN23" s="88"/>
    </row>
    <row r="24">
      <c r="A24" s="533" t="s">
        <v>35</v>
      </c>
      <c r="B24" s="534" t="s">
        <v>863</v>
      </c>
      <c r="C24" s="534" t="s">
        <v>864</v>
      </c>
      <c r="D24" s="534" t="s">
        <v>865</v>
      </c>
      <c r="E24" s="534" t="s">
        <v>866</v>
      </c>
      <c r="F24" s="534" t="s">
        <v>867</v>
      </c>
      <c r="G24" s="534" t="s">
        <v>868</v>
      </c>
      <c r="H24" s="534" t="s">
        <v>869</v>
      </c>
      <c r="I24" s="534" t="s">
        <v>870</v>
      </c>
      <c r="J24" s="534" t="s">
        <v>871</v>
      </c>
      <c r="K24" s="535" t="s">
        <v>872</v>
      </c>
      <c r="L24" s="535" t="s">
        <v>873</v>
      </c>
      <c r="M24" s="535" t="s">
        <v>874</v>
      </c>
      <c r="N24" s="535" t="s">
        <v>875</v>
      </c>
      <c r="O24" s="535" t="s">
        <v>876</v>
      </c>
      <c r="P24" s="535" t="s">
        <v>877</v>
      </c>
      <c r="Q24" s="535" t="s">
        <v>878</v>
      </c>
      <c r="R24" s="535" t="s">
        <v>879</v>
      </c>
      <c r="S24" s="535" t="s">
        <v>880</v>
      </c>
      <c r="T24" s="535" t="s">
        <v>881</v>
      </c>
      <c r="U24" s="536" t="s">
        <v>882</v>
      </c>
      <c r="V24" s="91"/>
      <c r="W24" s="91"/>
      <c r="X24" s="91"/>
      <c r="Y24" s="91"/>
      <c r="Z24" s="91"/>
      <c r="AA24" s="537"/>
      <c r="AB24" s="94"/>
      <c r="AC24" s="95"/>
      <c r="AD24" s="95"/>
      <c r="AE24" s="95"/>
      <c r="AF24" s="95"/>
      <c r="AG24" s="95"/>
      <c r="AH24" s="95"/>
      <c r="AI24" s="95"/>
      <c r="AJ24" s="95"/>
      <c r="AK24" s="95"/>
      <c r="AL24" s="95"/>
      <c r="AM24" s="95"/>
      <c r="AN24" s="95"/>
    </row>
    <row r="25">
      <c r="A25" s="96" t="s">
        <v>36</v>
      </c>
      <c r="B25" s="97">
        <v>0.0</v>
      </c>
      <c r="C25" s="98">
        <v>0.0</v>
      </c>
      <c r="D25" s="97">
        <v>1.0</v>
      </c>
      <c r="E25" s="97">
        <v>1.0</v>
      </c>
      <c r="F25" s="97">
        <v>1.0</v>
      </c>
      <c r="G25" s="97">
        <v>1.0</v>
      </c>
      <c r="H25" s="98">
        <v>0.0</v>
      </c>
      <c r="I25" s="97">
        <v>1.0</v>
      </c>
      <c r="J25" s="97">
        <v>1.0</v>
      </c>
      <c r="K25" s="97">
        <v>1.0</v>
      </c>
      <c r="L25" s="98">
        <v>0.0</v>
      </c>
      <c r="M25" s="98">
        <v>0.0</v>
      </c>
      <c r="N25" s="97">
        <v>1.0</v>
      </c>
      <c r="O25" s="98">
        <v>0.0</v>
      </c>
      <c r="P25" s="98">
        <v>0.0</v>
      </c>
      <c r="Q25" s="98">
        <v>0.0</v>
      </c>
      <c r="R25" s="97">
        <v>1.0</v>
      </c>
      <c r="S25" s="98">
        <v>0.0</v>
      </c>
      <c r="T25" s="97">
        <v>1.0</v>
      </c>
      <c r="U25" s="97">
        <v>1.0</v>
      </c>
      <c r="V25" s="98">
        <v>0.0</v>
      </c>
      <c r="W25" s="98">
        <v>0.0</v>
      </c>
      <c r="X25" s="98">
        <v>0.0</v>
      </c>
      <c r="Y25" s="98">
        <v>0.0</v>
      </c>
      <c r="Z25" s="98">
        <v>0.0</v>
      </c>
      <c r="AA25" s="98">
        <v>0.0</v>
      </c>
      <c r="AB25" s="99"/>
      <c r="AC25" s="100"/>
      <c r="AD25" s="100"/>
      <c r="AE25" s="100"/>
      <c r="AF25" s="100"/>
      <c r="AG25" s="100"/>
      <c r="AH25" s="100"/>
      <c r="AI25" s="100"/>
      <c r="AJ25" s="100"/>
      <c r="AK25" s="100"/>
      <c r="AL25" s="100"/>
      <c r="AM25" s="100"/>
      <c r="AN25" s="100"/>
    </row>
    <row r="26">
      <c r="A26" s="101" t="s">
        <v>37</v>
      </c>
      <c r="B26" s="102">
        <f t="shared" ref="B26:AA26" si="2">IFERROR(B19/B8, 0)</f>
        <v>0.637755102</v>
      </c>
      <c r="C26" s="102">
        <f t="shared" si="2"/>
        <v>0.7398989899</v>
      </c>
      <c r="D26" s="102">
        <f t="shared" si="2"/>
        <v>0.902200489</v>
      </c>
      <c r="E26" s="102">
        <f t="shared" si="2"/>
        <v>0.9943181818</v>
      </c>
      <c r="F26" s="102">
        <f t="shared" si="2"/>
        <v>0.7596685083</v>
      </c>
      <c r="G26" s="102">
        <f t="shared" si="2"/>
        <v>0.9942363112</v>
      </c>
      <c r="H26" s="102">
        <f t="shared" si="2"/>
        <v>0.565625</v>
      </c>
      <c r="I26" s="102">
        <f t="shared" si="2"/>
        <v>0.6524390244</v>
      </c>
      <c r="J26" s="102">
        <f t="shared" si="2"/>
        <v>0.5585585586</v>
      </c>
      <c r="K26" s="102">
        <f t="shared" si="2"/>
        <v>0.9112627986</v>
      </c>
      <c r="L26" s="102">
        <f t="shared" si="2"/>
        <v>0.7237237237</v>
      </c>
      <c r="M26" s="102">
        <f t="shared" si="2"/>
        <v>0.6459330144</v>
      </c>
      <c r="N26" s="102">
        <f t="shared" si="2"/>
        <v>0.9411764706</v>
      </c>
      <c r="O26" s="102">
        <f t="shared" si="2"/>
        <v>0.5705882353</v>
      </c>
      <c r="P26" s="102">
        <f t="shared" si="2"/>
        <v>0.4474474474</v>
      </c>
      <c r="Q26" s="102">
        <f t="shared" si="2"/>
        <v>0.4023904382</v>
      </c>
      <c r="R26" s="102">
        <f t="shared" si="2"/>
        <v>0.662295082</v>
      </c>
      <c r="S26" s="102">
        <f t="shared" si="2"/>
        <v>0.6151761518</v>
      </c>
      <c r="T26" s="102">
        <f t="shared" si="2"/>
        <v>0.9589371981</v>
      </c>
      <c r="U26" s="102">
        <f t="shared" si="2"/>
        <v>0.7318295739</v>
      </c>
      <c r="V26" s="102">
        <f t="shared" si="2"/>
        <v>0</v>
      </c>
      <c r="W26" s="102">
        <f t="shared" si="2"/>
        <v>0</v>
      </c>
      <c r="X26" s="102">
        <f t="shared" si="2"/>
        <v>0</v>
      </c>
      <c r="Y26" s="102">
        <f t="shared" si="2"/>
        <v>0</v>
      </c>
      <c r="Z26" s="102">
        <f t="shared" si="2"/>
        <v>0</v>
      </c>
      <c r="AA26" s="102">
        <f t="shared" si="2"/>
        <v>0</v>
      </c>
    </row>
    <row r="27">
      <c r="A27" s="105" t="s">
        <v>38</v>
      </c>
      <c r="B27" s="106">
        <f t="shared" ref="B27:AA27" si="3">IFERROR(B12/B20, 0)</f>
        <v>0.1823899371</v>
      </c>
      <c r="C27" s="106">
        <f t="shared" si="3"/>
        <v>0.06862745098</v>
      </c>
      <c r="D27" s="106">
        <f t="shared" si="3"/>
        <v>0.1365187713</v>
      </c>
      <c r="E27" s="106">
        <f t="shared" si="3"/>
        <v>0.2611683849</v>
      </c>
      <c r="F27" s="106">
        <f t="shared" si="3"/>
        <v>0.2914572864</v>
      </c>
      <c r="G27" s="106">
        <f t="shared" si="3"/>
        <v>0.1412639405</v>
      </c>
      <c r="H27" s="106">
        <f t="shared" si="3"/>
        <v>0.2086956522</v>
      </c>
      <c r="I27" s="106">
        <f t="shared" si="3"/>
        <v>0.524822695</v>
      </c>
      <c r="J27" s="106">
        <f t="shared" si="3"/>
        <v>0.125</v>
      </c>
      <c r="K27" s="106">
        <f t="shared" si="3"/>
        <v>0.2321428571</v>
      </c>
      <c r="L27" s="106">
        <f t="shared" si="3"/>
        <v>0.3686868687</v>
      </c>
      <c r="M27" s="106">
        <f t="shared" si="3"/>
        <v>0.5972222222</v>
      </c>
      <c r="N27" s="106">
        <f t="shared" si="3"/>
        <v>0.3214285714</v>
      </c>
      <c r="O27" s="106">
        <f t="shared" si="3"/>
        <v>0.8086956522</v>
      </c>
      <c r="P27" s="106">
        <f t="shared" si="3"/>
        <v>0.5</v>
      </c>
      <c r="Q27" s="106">
        <f t="shared" si="3"/>
        <v>0.5714285714</v>
      </c>
      <c r="R27" s="106">
        <f t="shared" si="3"/>
        <v>0.3149606299</v>
      </c>
      <c r="S27" s="106">
        <f t="shared" si="3"/>
        <v>0.2362204724</v>
      </c>
      <c r="T27" s="106">
        <f t="shared" si="3"/>
        <v>0.4222222222</v>
      </c>
      <c r="U27" s="106">
        <f t="shared" si="3"/>
        <v>0.4455958549</v>
      </c>
      <c r="V27" s="106">
        <f t="shared" si="3"/>
        <v>0</v>
      </c>
      <c r="W27" s="106">
        <f t="shared" si="3"/>
        <v>0</v>
      </c>
      <c r="X27" s="106">
        <f t="shared" si="3"/>
        <v>0</v>
      </c>
      <c r="Y27" s="106">
        <f t="shared" si="3"/>
        <v>0</v>
      </c>
      <c r="Z27" s="106">
        <f t="shared" si="3"/>
        <v>0</v>
      </c>
      <c r="AA27" s="106">
        <f t="shared" si="3"/>
        <v>0</v>
      </c>
    </row>
    <row r="28">
      <c r="A28" s="538" t="s">
        <v>39</v>
      </c>
      <c r="B28" s="539">
        <f t="shared" ref="B28:AA28" si="4">IFERROR(B21/B18, 0)</f>
        <v>1</v>
      </c>
      <c r="C28" s="539">
        <f t="shared" si="4"/>
        <v>1</v>
      </c>
      <c r="D28" s="539">
        <f t="shared" si="4"/>
        <v>0.2222222222</v>
      </c>
      <c r="E28" s="539">
        <f t="shared" si="4"/>
        <v>1</v>
      </c>
      <c r="F28" s="539">
        <f t="shared" si="4"/>
        <v>1</v>
      </c>
      <c r="G28" s="539">
        <f t="shared" si="4"/>
        <v>0.6583850932</v>
      </c>
      <c r="H28" s="539">
        <f t="shared" si="4"/>
        <v>1</v>
      </c>
      <c r="I28" s="539">
        <f t="shared" si="4"/>
        <v>1</v>
      </c>
      <c r="J28" s="539">
        <f t="shared" si="4"/>
        <v>1</v>
      </c>
      <c r="K28" s="539">
        <f t="shared" si="4"/>
        <v>1</v>
      </c>
      <c r="L28" s="539">
        <f t="shared" si="4"/>
        <v>0.8535353535</v>
      </c>
      <c r="M28" s="539">
        <f t="shared" si="4"/>
        <v>1</v>
      </c>
      <c r="N28" s="539">
        <f t="shared" si="4"/>
        <v>0.9386503067</v>
      </c>
      <c r="O28" s="539">
        <f t="shared" si="4"/>
        <v>1</v>
      </c>
      <c r="P28" s="539">
        <f t="shared" si="4"/>
        <v>1</v>
      </c>
      <c r="Q28" s="539">
        <f t="shared" si="4"/>
        <v>1</v>
      </c>
      <c r="R28" s="539">
        <f t="shared" si="4"/>
        <v>1</v>
      </c>
      <c r="S28" s="539">
        <f t="shared" si="4"/>
        <v>1</v>
      </c>
      <c r="T28" s="539">
        <f t="shared" si="4"/>
        <v>1</v>
      </c>
      <c r="U28" s="539">
        <f t="shared" si="4"/>
        <v>0.8139534884</v>
      </c>
      <c r="V28" s="539">
        <f t="shared" si="4"/>
        <v>0</v>
      </c>
      <c r="W28" s="539">
        <f t="shared" si="4"/>
        <v>0</v>
      </c>
      <c r="X28" s="539">
        <f t="shared" si="4"/>
        <v>0</v>
      </c>
      <c r="Y28" s="539">
        <f t="shared" si="4"/>
        <v>0</v>
      </c>
      <c r="Z28" s="539">
        <f t="shared" si="4"/>
        <v>0</v>
      </c>
      <c r="AA28" s="540">
        <f t="shared" si="4"/>
        <v>0</v>
      </c>
      <c r="AB28" s="112"/>
      <c r="AC28" s="113"/>
      <c r="AD28" s="113"/>
      <c r="AE28" s="113"/>
      <c r="AF28" s="113"/>
      <c r="AG28" s="113"/>
      <c r="AH28" s="113"/>
      <c r="AI28" s="113"/>
      <c r="AJ28" s="113"/>
      <c r="AK28" s="113"/>
      <c r="AL28" s="113"/>
      <c r="AM28" s="113"/>
      <c r="AN28" s="113"/>
    </row>
    <row r="29">
      <c r="A29" s="114" t="s">
        <v>40</v>
      </c>
      <c r="B29" s="115">
        <f t="shared" ref="B29:AA29" si="5">IFERROR(B23/B8, 0)</f>
        <v>0.5943877551</v>
      </c>
      <c r="C29" s="115">
        <f t="shared" si="5"/>
        <v>0.6237373737</v>
      </c>
      <c r="D29" s="115">
        <f t="shared" si="5"/>
        <v>0.5965770171</v>
      </c>
      <c r="E29" s="115">
        <f t="shared" si="5"/>
        <v>0.5028409091</v>
      </c>
      <c r="F29" s="115">
        <f t="shared" si="5"/>
        <v>0.6519337017</v>
      </c>
      <c r="G29" s="115">
        <f t="shared" si="5"/>
        <v>0.757925072</v>
      </c>
      <c r="H29" s="115">
        <f t="shared" si="5"/>
        <v>0.678125</v>
      </c>
      <c r="I29" s="115">
        <f t="shared" si="5"/>
        <v>0.512195122</v>
      </c>
      <c r="J29" s="115">
        <f t="shared" si="5"/>
        <v>0.6186186186</v>
      </c>
      <c r="K29" s="115">
        <f t="shared" si="5"/>
        <v>0.7372013652</v>
      </c>
      <c r="L29" s="115">
        <f t="shared" si="5"/>
        <v>0.7687687688</v>
      </c>
      <c r="M29" s="115">
        <f t="shared" si="5"/>
        <v>0.6267942584</v>
      </c>
      <c r="N29" s="115">
        <f t="shared" si="5"/>
        <v>0.5941176471</v>
      </c>
      <c r="O29" s="115">
        <f t="shared" si="5"/>
        <v>0.6970588235</v>
      </c>
      <c r="P29" s="115">
        <f t="shared" si="5"/>
        <v>0.4924924925</v>
      </c>
      <c r="Q29" s="115">
        <f t="shared" si="5"/>
        <v>0.561752988</v>
      </c>
      <c r="R29" s="115">
        <f t="shared" si="5"/>
        <v>0.4983606557</v>
      </c>
      <c r="S29" s="115">
        <f t="shared" si="5"/>
        <v>0.7804878049</v>
      </c>
      <c r="T29" s="115">
        <f t="shared" si="5"/>
        <v>0.6352657005</v>
      </c>
      <c r="U29" s="115">
        <f t="shared" si="5"/>
        <v>0.5538847118</v>
      </c>
      <c r="V29" s="115">
        <f t="shared" si="5"/>
        <v>0</v>
      </c>
      <c r="W29" s="115">
        <f t="shared" si="5"/>
        <v>0</v>
      </c>
      <c r="X29" s="115">
        <f t="shared" si="5"/>
        <v>0</v>
      </c>
      <c r="Y29" s="115">
        <f t="shared" si="5"/>
        <v>0</v>
      </c>
      <c r="Z29" s="115">
        <f t="shared" si="5"/>
        <v>0</v>
      </c>
      <c r="AA29" s="115">
        <f t="shared" si="5"/>
        <v>0</v>
      </c>
      <c r="AB29" s="112"/>
      <c r="AC29" s="113"/>
      <c r="AD29" s="113"/>
      <c r="AE29" s="113"/>
      <c r="AF29" s="113"/>
      <c r="AG29" s="113"/>
      <c r="AH29" s="113"/>
      <c r="AI29" s="113"/>
      <c r="AJ29" s="113"/>
      <c r="AK29" s="113"/>
      <c r="AL29" s="113"/>
      <c r="AM29" s="113"/>
      <c r="AN29" s="113"/>
    </row>
    <row r="30">
      <c r="A30" s="541" t="s">
        <v>883</v>
      </c>
      <c r="B30" s="542">
        <f t="shared" ref="B30:AA30" si="6">IFERROR(B21/B23, 0)</f>
        <v>0.5236051502</v>
      </c>
      <c r="C30" s="542">
        <f t="shared" si="6"/>
        <v>0.7408906883</v>
      </c>
      <c r="D30" s="542">
        <f t="shared" si="6"/>
        <v>0.2213114754</v>
      </c>
      <c r="E30" s="542">
        <f t="shared" si="6"/>
        <v>1.225988701</v>
      </c>
      <c r="F30" s="542">
        <f t="shared" si="6"/>
        <v>0.6694915254</v>
      </c>
      <c r="G30" s="542">
        <f t="shared" si="6"/>
        <v>0.4030418251</v>
      </c>
      <c r="H30" s="542">
        <f t="shared" si="6"/>
        <v>0.4101382488</v>
      </c>
      <c r="I30" s="542">
        <f t="shared" si="6"/>
        <v>0.744047619</v>
      </c>
      <c r="J30" s="542">
        <f t="shared" si="6"/>
        <v>0.5436893204</v>
      </c>
      <c r="K30" s="542">
        <f t="shared" si="6"/>
        <v>0.9212962963</v>
      </c>
      <c r="L30" s="542">
        <f t="shared" si="6"/>
        <v>0.66015625</v>
      </c>
      <c r="M30" s="542">
        <f t="shared" si="6"/>
        <v>0.3664122137</v>
      </c>
      <c r="N30" s="542">
        <f t="shared" si="6"/>
        <v>0.7574257426</v>
      </c>
      <c r="O30" s="542">
        <f t="shared" si="6"/>
        <v>0.3417721519</v>
      </c>
      <c r="P30" s="542">
        <f t="shared" si="6"/>
        <v>0.2317073171</v>
      </c>
      <c r="Q30" s="542">
        <f t="shared" si="6"/>
        <v>0.2482269504</v>
      </c>
      <c r="R30" s="542">
        <f t="shared" si="6"/>
        <v>0.4802631579</v>
      </c>
      <c r="S30" s="542">
        <f t="shared" si="6"/>
        <v>0.4270833333</v>
      </c>
      <c r="T30" s="542">
        <f t="shared" si="6"/>
        <v>0.4942965779</v>
      </c>
      <c r="U30" s="542">
        <f t="shared" si="6"/>
        <v>0.4751131222</v>
      </c>
      <c r="V30" s="542">
        <f t="shared" si="6"/>
        <v>0</v>
      </c>
      <c r="W30" s="542">
        <f t="shared" si="6"/>
        <v>0</v>
      </c>
      <c r="X30" s="542">
        <f t="shared" si="6"/>
        <v>0</v>
      </c>
      <c r="Y30" s="542">
        <f t="shared" si="6"/>
        <v>0</v>
      </c>
      <c r="Z30" s="542">
        <f t="shared" si="6"/>
        <v>0</v>
      </c>
      <c r="AA30" s="543">
        <f t="shared" si="6"/>
        <v>0</v>
      </c>
      <c r="AB30" s="121"/>
      <c r="AC30" s="121"/>
      <c r="AD30" s="121"/>
      <c r="AE30" s="121"/>
      <c r="AF30" s="121"/>
      <c r="AG30" s="99"/>
      <c r="AH30" s="99"/>
      <c r="AI30" s="99"/>
      <c r="AJ30" s="99"/>
      <c r="AK30" s="99"/>
      <c r="AL30" s="99"/>
      <c r="AM30" s="99"/>
      <c r="AN30" s="99"/>
    </row>
    <row r="31" hidden="1">
      <c r="A31" s="544" t="s">
        <v>41</v>
      </c>
      <c r="B31" s="545"/>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7"/>
      <c r="AB31" s="121"/>
      <c r="AC31" s="121"/>
      <c r="AD31" s="121"/>
      <c r="AE31" s="121"/>
      <c r="AF31" s="121"/>
      <c r="AG31" s="99"/>
      <c r="AH31" s="99"/>
      <c r="AI31" s="99"/>
      <c r="AJ31" s="99"/>
      <c r="AK31" s="99"/>
      <c r="AL31" s="99"/>
      <c r="AM31" s="99"/>
      <c r="AN31" s="99"/>
    </row>
    <row r="32">
      <c r="A32" s="184" t="s">
        <v>141</v>
      </c>
      <c r="B32" s="240"/>
      <c r="C32" s="240"/>
      <c r="D32" s="240"/>
      <c r="E32" s="240"/>
      <c r="F32" s="240"/>
      <c r="G32" s="240"/>
      <c r="H32" s="240"/>
      <c r="I32" s="240"/>
      <c r="J32" s="240"/>
      <c r="K32" s="240"/>
      <c r="L32" s="240"/>
      <c r="M32" s="240"/>
      <c r="N32" s="185">
        <f t="shared" ref="N32:T32" si="7">N75/N8</f>
        <v>0</v>
      </c>
      <c r="O32" s="185">
        <f t="shared" si="7"/>
        <v>0</v>
      </c>
      <c r="P32" s="185">
        <f t="shared" si="7"/>
        <v>0</v>
      </c>
      <c r="Q32" s="185">
        <f t="shared" si="7"/>
        <v>0</v>
      </c>
      <c r="R32" s="185">
        <f t="shared" si="7"/>
        <v>0</v>
      </c>
      <c r="S32" s="185">
        <f t="shared" si="7"/>
        <v>0</v>
      </c>
      <c r="T32" s="185">
        <f t="shared" si="7"/>
        <v>0</v>
      </c>
      <c r="U32" s="191">
        <v>0.3597</v>
      </c>
      <c r="V32" s="185" t="str">
        <f t="shared" ref="V32:AA32" si="8">V75/V8</f>
        <v>#DIV/0!</v>
      </c>
      <c r="W32" s="185" t="str">
        <f t="shared" si="8"/>
        <v>#DIV/0!</v>
      </c>
      <c r="X32" s="185" t="str">
        <f t="shared" si="8"/>
        <v>#DIV/0!</v>
      </c>
      <c r="Y32" s="185" t="str">
        <f t="shared" si="8"/>
        <v>#DIV/0!</v>
      </c>
      <c r="Z32" s="185" t="str">
        <f t="shared" si="8"/>
        <v>#DIV/0!</v>
      </c>
      <c r="AA32" s="185" t="str">
        <f t="shared" si="8"/>
        <v>#DIV/0!</v>
      </c>
      <c r="AB32" s="240"/>
      <c r="AC32" s="186"/>
      <c r="AD32" s="186"/>
      <c r="AE32" s="186"/>
      <c r="AF32" s="186"/>
      <c r="AG32" s="186"/>
      <c r="AH32" s="186"/>
      <c r="AI32" s="186"/>
      <c r="AJ32" s="186"/>
      <c r="AK32" s="186"/>
      <c r="AL32" s="186"/>
      <c r="AM32" s="186"/>
      <c r="AN32" s="186"/>
    </row>
    <row r="33">
      <c r="A33" s="187" t="s">
        <v>42</v>
      </c>
      <c r="B33" s="191">
        <v>0.227</v>
      </c>
      <c r="C33" s="191">
        <v>0.349</v>
      </c>
      <c r="D33" s="191">
        <v>0.384</v>
      </c>
      <c r="E33" s="185">
        <f>64/E8</f>
        <v>0.1818181818</v>
      </c>
      <c r="F33" s="191">
        <v>0.17</v>
      </c>
      <c r="G33" s="191">
        <v>0.37</v>
      </c>
      <c r="H33" s="191">
        <v>0.2</v>
      </c>
      <c r="I33" s="191">
        <v>0.0465</v>
      </c>
      <c r="J33" s="191">
        <v>0.2942</v>
      </c>
      <c r="K33" s="191">
        <v>0.2629</v>
      </c>
      <c r="L33" s="191">
        <v>0.398</v>
      </c>
      <c r="M33" s="191">
        <v>0.544</v>
      </c>
      <c r="N33" s="191">
        <v>0.26</v>
      </c>
      <c r="O33" s="191">
        <v>0.31</v>
      </c>
      <c r="P33" s="191">
        <v>0.32</v>
      </c>
      <c r="Q33" s="191">
        <v>0.42</v>
      </c>
      <c r="R33" s="191">
        <v>0.32</v>
      </c>
      <c r="S33" s="191">
        <v>0.32</v>
      </c>
      <c r="T33" s="191">
        <v>0.24</v>
      </c>
      <c r="U33" s="191">
        <v>0.3597</v>
      </c>
      <c r="V33" s="185">
        <v>0.0</v>
      </c>
      <c r="W33" s="185">
        <v>0.0</v>
      </c>
      <c r="X33" s="185">
        <v>0.0</v>
      </c>
      <c r="Y33" s="185">
        <v>0.0</v>
      </c>
      <c r="Z33" s="185">
        <v>0.0</v>
      </c>
      <c r="AA33" s="185">
        <v>0.0</v>
      </c>
      <c r="AB33" s="188"/>
      <c r="AC33" s="189"/>
      <c r="AD33" s="189"/>
      <c r="AE33" s="189"/>
      <c r="AF33" s="189"/>
      <c r="AG33" s="147"/>
      <c r="AH33" s="147"/>
      <c r="AI33" s="147"/>
      <c r="AJ33" s="147"/>
      <c r="AK33" s="147"/>
      <c r="AL33" s="147"/>
      <c r="AM33" s="147"/>
      <c r="AN33" s="147"/>
    </row>
    <row r="34">
      <c r="A34" s="480" t="s">
        <v>884</v>
      </c>
      <c r="B34" s="191">
        <v>1.0</v>
      </c>
      <c r="C34" s="191">
        <v>1.0</v>
      </c>
      <c r="D34" s="191">
        <v>1.0</v>
      </c>
      <c r="E34" s="191">
        <v>1.0</v>
      </c>
      <c r="F34" s="191">
        <v>1.0</v>
      </c>
      <c r="G34" s="191">
        <v>1.0</v>
      </c>
      <c r="H34" s="191">
        <v>1.0</v>
      </c>
      <c r="I34" s="191">
        <v>1.0</v>
      </c>
      <c r="J34" s="191">
        <v>1.0</v>
      </c>
      <c r="K34" s="191">
        <v>1.0</v>
      </c>
      <c r="L34" s="191">
        <v>1.0</v>
      </c>
      <c r="M34" s="191">
        <v>1.0</v>
      </c>
      <c r="N34" s="191">
        <v>1.0</v>
      </c>
      <c r="O34" s="191">
        <v>1.0</v>
      </c>
      <c r="P34" s="191">
        <v>1.0</v>
      </c>
      <c r="Q34" s="191">
        <v>1.0</v>
      </c>
      <c r="R34" s="191">
        <v>1.0</v>
      </c>
      <c r="S34" s="191">
        <v>1.0</v>
      </c>
      <c r="T34" s="191">
        <v>1.0</v>
      </c>
      <c r="U34" s="191">
        <v>1.0</v>
      </c>
      <c r="V34" s="185">
        <v>0.0</v>
      </c>
      <c r="W34" s="185">
        <v>0.0</v>
      </c>
      <c r="X34" s="185">
        <v>0.0</v>
      </c>
      <c r="Y34" s="185">
        <v>0.0</v>
      </c>
      <c r="Z34" s="185">
        <v>0.0</v>
      </c>
      <c r="AA34" s="185">
        <v>0.0</v>
      </c>
      <c r="AB34" s="189"/>
      <c r="AC34" s="189"/>
      <c r="AD34" s="189"/>
      <c r="AE34" s="189"/>
      <c r="AF34" s="189"/>
      <c r="AG34" s="147"/>
      <c r="AH34" s="147"/>
      <c r="AI34" s="147"/>
      <c r="AJ34" s="147"/>
      <c r="AK34" s="147"/>
      <c r="AL34" s="147"/>
      <c r="AM34" s="147"/>
      <c r="AN34" s="147"/>
    </row>
    <row r="35">
      <c r="A35" s="187" t="s">
        <v>44</v>
      </c>
      <c r="B35" s="192">
        <f t="shared" ref="B35:AA35" si="9">(B25*0.7) + (IF(B33 &gt;= 30%, 1, 0)*0.15) + (B34*0.15)</f>
        <v>0.15</v>
      </c>
      <c r="C35" s="192">
        <f t="shared" si="9"/>
        <v>0.3</v>
      </c>
      <c r="D35" s="192">
        <f t="shared" si="9"/>
        <v>1</v>
      </c>
      <c r="E35" s="192">
        <f t="shared" si="9"/>
        <v>0.85</v>
      </c>
      <c r="F35" s="192">
        <f t="shared" si="9"/>
        <v>0.85</v>
      </c>
      <c r="G35" s="192">
        <f t="shared" si="9"/>
        <v>1</v>
      </c>
      <c r="H35" s="192">
        <f t="shared" si="9"/>
        <v>0.15</v>
      </c>
      <c r="I35" s="192">
        <f t="shared" si="9"/>
        <v>0.85</v>
      </c>
      <c r="J35" s="192">
        <f t="shared" si="9"/>
        <v>0.85</v>
      </c>
      <c r="K35" s="192">
        <f t="shared" si="9"/>
        <v>0.85</v>
      </c>
      <c r="L35" s="192">
        <f t="shared" si="9"/>
        <v>0.3</v>
      </c>
      <c r="M35" s="192">
        <f t="shared" si="9"/>
        <v>0.3</v>
      </c>
      <c r="N35" s="192">
        <f t="shared" si="9"/>
        <v>0.85</v>
      </c>
      <c r="O35" s="192">
        <f t="shared" si="9"/>
        <v>0.3</v>
      </c>
      <c r="P35" s="192">
        <f t="shared" si="9"/>
        <v>0.3</v>
      </c>
      <c r="Q35" s="192">
        <f t="shared" si="9"/>
        <v>0.3</v>
      </c>
      <c r="R35" s="192">
        <f t="shared" si="9"/>
        <v>1</v>
      </c>
      <c r="S35" s="192">
        <f t="shared" si="9"/>
        <v>0.3</v>
      </c>
      <c r="T35" s="192">
        <f t="shared" si="9"/>
        <v>0.85</v>
      </c>
      <c r="U35" s="192">
        <f t="shared" si="9"/>
        <v>1</v>
      </c>
      <c r="V35" s="192">
        <f t="shared" si="9"/>
        <v>0</v>
      </c>
      <c r="W35" s="192">
        <f t="shared" si="9"/>
        <v>0</v>
      </c>
      <c r="X35" s="192">
        <f t="shared" si="9"/>
        <v>0</v>
      </c>
      <c r="Y35" s="192">
        <f t="shared" si="9"/>
        <v>0</v>
      </c>
      <c r="Z35" s="192">
        <f t="shared" si="9"/>
        <v>0</v>
      </c>
      <c r="AA35" s="192">
        <f t="shared" si="9"/>
        <v>0</v>
      </c>
      <c r="AB35" s="189"/>
      <c r="AC35" s="189"/>
      <c r="AD35" s="189"/>
      <c r="AE35" s="189"/>
      <c r="AF35" s="189"/>
      <c r="AG35" s="147"/>
      <c r="AH35" s="147"/>
      <c r="AI35" s="147"/>
      <c r="AJ35" s="147"/>
      <c r="AK35" s="147"/>
      <c r="AL35" s="147"/>
      <c r="AM35" s="147"/>
      <c r="AN35" s="147"/>
    </row>
    <row r="36">
      <c r="A36" s="193" t="s">
        <v>142</v>
      </c>
      <c r="B36" s="194"/>
      <c r="N36" s="195">
        <v>1.0</v>
      </c>
      <c r="O36" s="192">
        <v>0.3</v>
      </c>
      <c r="P36" s="192">
        <v>0.3</v>
      </c>
      <c r="Q36" s="192">
        <v>0.3</v>
      </c>
      <c r="R36" s="192">
        <v>1.0</v>
      </c>
      <c r="S36" s="192">
        <v>0.3</v>
      </c>
      <c r="T36" s="195">
        <v>1.0</v>
      </c>
      <c r="U36" s="195">
        <v>1.0</v>
      </c>
      <c r="AA36" s="518"/>
    </row>
    <row r="37">
      <c r="A37" s="126" t="s">
        <v>45</v>
      </c>
      <c r="B37" s="127"/>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548"/>
      <c r="AB37" s="130"/>
      <c r="AC37" s="130"/>
      <c r="AD37" s="130"/>
      <c r="AE37" s="130"/>
      <c r="AF37" s="130"/>
      <c r="AG37" s="130"/>
      <c r="AH37" s="130"/>
      <c r="AI37" s="130"/>
      <c r="AJ37" s="130"/>
      <c r="AK37" s="130"/>
      <c r="AL37" s="130"/>
      <c r="AM37" s="130"/>
      <c r="AN37" s="130"/>
    </row>
    <row r="38">
      <c r="A38" s="549" t="s">
        <v>885</v>
      </c>
      <c r="B38" s="132">
        <v>55.0</v>
      </c>
      <c r="C38" s="133">
        <v>55.0</v>
      </c>
      <c r="D38" s="133">
        <v>45.0</v>
      </c>
      <c r="E38" s="133">
        <v>44.0</v>
      </c>
      <c r="F38" s="199">
        <v>45.0</v>
      </c>
      <c r="G38" s="133">
        <v>34.0</v>
      </c>
      <c r="H38" s="199">
        <v>37.0</v>
      </c>
      <c r="I38" s="199">
        <v>42.0</v>
      </c>
      <c r="J38" s="199">
        <v>34.0</v>
      </c>
      <c r="K38" s="199">
        <v>6.0</v>
      </c>
      <c r="L38" s="199">
        <v>29.0</v>
      </c>
      <c r="M38" s="199">
        <v>25.0</v>
      </c>
      <c r="N38" s="199">
        <v>29.0</v>
      </c>
      <c r="O38" s="199">
        <v>29.0</v>
      </c>
      <c r="P38" s="133">
        <v>29.0</v>
      </c>
      <c r="Q38" s="199">
        <v>29.0</v>
      </c>
      <c r="R38" s="199">
        <v>34.0</v>
      </c>
      <c r="S38" s="199">
        <v>42.0</v>
      </c>
      <c r="T38" s="199">
        <v>34.0</v>
      </c>
      <c r="U38" s="199">
        <v>42.0</v>
      </c>
      <c r="V38" s="133">
        <v>34.0</v>
      </c>
      <c r="W38" s="133"/>
      <c r="X38" s="133"/>
      <c r="Y38" s="133"/>
      <c r="Z38" s="133"/>
      <c r="AA38" s="550"/>
      <c r="AB38" s="133"/>
      <c r="AC38" s="130"/>
      <c r="AD38" s="130"/>
      <c r="AE38" s="551"/>
      <c r="AF38" s="130"/>
      <c r="AG38" s="130"/>
      <c r="AH38" s="130"/>
      <c r="AI38" s="130"/>
      <c r="AJ38" s="130"/>
      <c r="AK38" s="130"/>
      <c r="AL38" s="130"/>
      <c r="AM38" s="130"/>
      <c r="AN38" s="130"/>
    </row>
    <row r="39">
      <c r="A39" s="549" t="s">
        <v>886</v>
      </c>
      <c r="B39" s="132">
        <v>34.0</v>
      </c>
      <c r="C39" s="199">
        <v>34.0</v>
      </c>
      <c r="D39" s="133">
        <v>44.0</v>
      </c>
      <c r="E39" s="133">
        <v>36.0</v>
      </c>
      <c r="F39" s="199">
        <v>39.0</v>
      </c>
      <c r="G39" s="133">
        <v>29.0</v>
      </c>
      <c r="H39" s="199">
        <v>37.0</v>
      </c>
      <c r="I39" s="199">
        <v>36.0</v>
      </c>
      <c r="J39" s="199">
        <v>34.0</v>
      </c>
      <c r="K39" s="199">
        <v>29.0</v>
      </c>
      <c r="L39" s="199">
        <v>21.0</v>
      </c>
      <c r="M39" s="199">
        <v>21.0</v>
      </c>
      <c r="N39" s="199">
        <v>34.0</v>
      </c>
      <c r="O39" s="199">
        <v>34.0</v>
      </c>
      <c r="P39" s="133">
        <v>34.0</v>
      </c>
      <c r="Q39" s="199">
        <v>26.0</v>
      </c>
      <c r="R39" s="199">
        <v>26.0</v>
      </c>
      <c r="S39" s="199">
        <v>29.0</v>
      </c>
      <c r="T39" s="199">
        <v>36.0</v>
      </c>
      <c r="U39" s="199">
        <v>39.0</v>
      </c>
      <c r="V39" s="133">
        <v>34.0</v>
      </c>
      <c r="W39" s="133"/>
      <c r="X39" s="133"/>
      <c r="Y39" s="133"/>
      <c r="Z39" s="133"/>
      <c r="AA39" s="550"/>
      <c r="AB39" s="133"/>
      <c r="AC39" s="130"/>
      <c r="AD39" s="130"/>
      <c r="AE39" s="551"/>
      <c r="AF39" s="130"/>
      <c r="AG39" s="130"/>
      <c r="AH39" s="130"/>
      <c r="AI39" s="130"/>
      <c r="AJ39" s="130"/>
      <c r="AK39" s="130"/>
      <c r="AL39" s="130"/>
      <c r="AM39" s="130"/>
      <c r="AN39" s="130"/>
    </row>
    <row r="40">
      <c r="A40" s="552" t="s">
        <v>887</v>
      </c>
      <c r="T40" s="199">
        <v>47.0</v>
      </c>
      <c r="U40" s="199">
        <v>34.0</v>
      </c>
      <c r="V40" s="199">
        <v>30.0</v>
      </c>
    </row>
    <row r="41">
      <c r="A41" s="553" t="s">
        <v>888</v>
      </c>
      <c r="B41" s="132">
        <v>48.0</v>
      </c>
      <c r="C41" s="199">
        <v>47.0</v>
      </c>
      <c r="D41" s="199">
        <v>39.0</v>
      </c>
      <c r="E41" s="199">
        <v>41.0</v>
      </c>
      <c r="F41" s="199">
        <v>41.0</v>
      </c>
      <c r="G41" s="133">
        <v>39.0</v>
      </c>
      <c r="H41" s="199">
        <v>47.0</v>
      </c>
      <c r="I41" s="199">
        <v>34.0</v>
      </c>
      <c r="J41" s="199">
        <v>42.0</v>
      </c>
      <c r="K41" s="199">
        <v>45.0</v>
      </c>
      <c r="L41" s="199">
        <v>53.0</v>
      </c>
      <c r="M41" s="199">
        <v>15.0</v>
      </c>
      <c r="N41" s="199">
        <v>45.0</v>
      </c>
      <c r="O41" s="199">
        <v>47.0</v>
      </c>
      <c r="P41" s="199">
        <v>42.0</v>
      </c>
      <c r="Q41" s="199">
        <v>29.0</v>
      </c>
      <c r="R41" s="133">
        <v>39.0</v>
      </c>
      <c r="S41" s="199">
        <v>42.0</v>
      </c>
      <c r="T41" s="199">
        <v>42.0</v>
      </c>
      <c r="U41" s="199">
        <v>39.0</v>
      </c>
      <c r="V41" s="199">
        <v>40.0</v>
      </c>
      <c r="W41" s="133"/>
      <c r="X41" s="133"/>
      <c r="Y41" s="133"/>
      <c r="Z41" s="133"/>
      <c r="AA41" s="550"/>
      <c r="AB41" s="133"/>
      <c r="AC41" s="130"/>
      <c r="AD41" s="130"/>
      <c r="AE41" s="551"/>
      <c r="AF41" s="130"/>
      <c r="AG41" s="130"/>
      <c r="AH41" s="130"/>
      <c r="AI41" s="130"/>
      <c r="AJ41" s="130"/>
      <c r="AK41" s="130"/>
      <c r="AL41" s="130"/>
      <c r="AM41" s="130"/>
      <c r="AN41" s="130"/>
    </row>
    <row r="42">
      <c r="A42" s="554" t="s">
        <v>889</v>
      </c>
      <c r="B42" s="132">
        <v>39.0</v>
      </c>
      <c r="C42" s="199">
        <v>39.0</v>
      </c>
      <c r="D42" s="199">
        <v>50.0</v>
      </c>
      <c r="E42" s="199">
        <v>37.0</v>
      </c>
      <c r="F42" s="199">
        <v>54.0</v>
      </c>
      <c r="G42" s="133">
        <v>55.0</v>
      </c>
      <c r="H42" s="199">
        <v>37.0</v>
      </c>
      <c r="I42" s="199">
        <v>45.0</v>
      </c>
      <c r="J42" s="199">
        <v>47.0</v>
      </c>
      <c r="K42" s="199">
        <v>27.0</v>
      </c>
      <c r="L42" s="199">
        <v>45.0</v>
      </c>
      <c r="M42" s="199">
        <v>30.0</v>
      </c>
      <c r="N42" s="199">
        <v>43.0</v>
      </c>
      <c r="O42" s="199">
        <v>45.0</v>
      </c>
      <c r="P42" s="199">
        <v>46.0</v>
      </c>
      <c r="Q42" s="199">
        <v>34.0</v>
      </c>
      <c r="R42" s="133">
        <v>13.0</v>
      </c>
      <c r="S42" s="199">
        <v>50.0</v>
      </c>
      <c r="T42" s="199">
        <v>36.0</v>
      </c>
      <c r="U42" s="199">
        <v>41.0</v>
      </c>
      <c r="V42" s="199">
        <v>40.0</v>
      </c>
      <c r="W42" s="133"/>
      <c r="X42" s="133"/>
      <c r="Y42" s="133"/>
      <c r="Z42" s="133"/>
      <c r="AA42" s="550"/>
      <c r="AB42" s="133"/>
      <c r="AC42" s="130"/>
      <c r="AD42" s="130"/>
      <c r="AE42" s="551"/>
      <c r="AF42" s="130"/>
      <c r="AG42" s="130"/>
      <c r="AH42" s="130"/>
      <c r="AI42" s="130"/>
      <c r="AJ42" s="130"/>
      <c r="AK42" s="130"/>
      <c r="AL42" s="130"/>
      <c r="AM42" s="130"/>
      <c r="AN42" s="130"/>
    </row>
    <row r="43">
      <c r="A43" s="554" t="s">
        <v>890</v>
      </c>
      <c r="B43" s="136"/>
      <c r="F43" s="133"/>
      <c r="G43" s="130"/>
      <c r="P43" s="130"/>
      <c r="R43" s="133"/>
      <c r="S43" s="199"/>
      <c r="T43" s="199">
        <v>11.0</v>
      </c>
      <c r="U43" s="199">
        <v>14.0</v>
      </c>
      <c r="V43" s="199">
        <v>11.0</v>
      </c>
      <c r="W43" s="133"/>
      <c r="X43" s="133"/>
      <c r="Y43" s="133"/>
      <c r="Z43" s="133"/>
      <c r="AA43" s="550"/>
      <c r="AB43" s="133"/>
      <c r="AC43" s="130"/>
      <c r="AD43" s="130"/>
      <c r="AE43" s="197"/>
      <c r="AF43" s="130"/>
      <c r="AG43" s="130"/>
      <c r="AH43" s="130"/>
      <c r="AI43" s="130"/>
      <c r="AJ43" s="130"/>
      <c r="AK43" s="130"/>
      <c r="AL43" s="130"/>
      <c r="AM43" s="130"/>
      <c r="AN43" s="130"/>
    </row>
    <row r="44">
      <c r="A44" s="554" t="s">
        <v>891</v>
      </c>
      <c r="B44" s="132">
        <v>62.0</v>
      </c>
      <c r="C44" s="199">
        <v>80.0</v>
      </c>
      <c r="D44" s="199">
        <v>74.0</v>
      </c>
      <c r="E44" s="199">
        <v>61.0</v>
      </c>
      <c r="F44" s="199">
        <v>42.0</v>
      </c>
      <c r="G44" s="133">
        <v>43.0</v>
      </c>
      <c r="H44" s="199">
        <v>58.0</v>
      </c>
      <c r="I44" s="199">
        <v>56.0</v>
      </c>
      <c r="J44" s="199">
        <v>53.0</v>
      </c>
      <c r="K44" s="199">
        <v>62.0</v>
      </c>
      <c r="L44" s="199">
        <v>58.0</v>
      </c>
      <c r="M44" s="199">
        <v>60.0</v>
      </c>
      <c r="N44" s="199">
        <v>50.0</v>
      </c>
      <c r="O44" s="199">
        <v>51.0</v>
      </c>
      <c r="P44" s="199">
        <v>56.0</v>
      </c>
      <c r="Q44" s="199">
        <v>25.0</v>
      </c>
      <c r="R44" s="133">
        <v>32.0</v>
      </c>
      <c r="S44" s="199">
        <v>34.0</v>
      </c>
      <c r="T44" s="199">
        <v>42.0</v>
      </c>
      <c r="U44" s="199">
        <v>21.0</v>
      </c>
      <c r="V44" s="199">
        <v>21.0</v>
      </c>
      <c r="W44" s="133"/>
      <c r="X44" s="133"/>
      <c r="Y44" s="133"/>
      <c r="Z44" s="133"/>
      <c r="AA44" s="550"/>
      <c r="AB44" s="133"/>
      <c r="AC44" s="130"/>
      <c r="AD44" s="130"/>
      <c r="AF44" s="130"/>
      <c r="AG44" s="130"/>
      <c r="AH44" s="130"/>
      <c r="AI44" s="130"/>
      <c r="AJ44" s="130"/>
      <c r="AK44" s="130"/>
      <c r="AL44" s="130"/>
      <c r="AM44" s="130"/>
      <c r="AN44" s="130"/>
    </row>
    <row r="45">
      <c r="A45" s="554" t="s">
        <v>892</v>
      </c>
      <c r="B45" s="132">
        <v>29.0</v>
      </c>
      <c r="C45" s="199">
        <v>31.0</v>
      </c>
      <c r="D45" s="199">
        <v>31.0</v>
      </c>
      <c r="E45" s="199">
        <v>31.0</v>
      </c>
      <c r="F45" s="199">
        <v>42.0</v>
      </c>
      <c r="G45" s="133">
        <v>34.0</v>
      </c>
      <c r="H45" s="199">
        <v>37.0</v>
      </c>
      <c r="I45" s="199">
        <v>38.0</v>
      </c>
      <c r="J45" s="199">
        <v>34.0</v>
      </c>
      <c r="K45" s="199">
        <v>42.0</v>
      </c>
      <c r="L45" s="199">
        <v>38.0</v>
      </c>
      <c r="M45" s="199">
        <v>27.0</v>
      </c>
      <c r="N45" s="199">
        <v>43.0</v>
      </c>
      <c r="O45" s="199">
        <v>41.0</v>
      </c>
      <c r="P45" s="199">
        <v>39.0</v>
      </c>
      <c r="Q45" s="199">
        <v>30.0</v>
      </c>
      <c r="R45" s="133">
        <v>38.0</v>
      </c>
      <c r="S45" s="199">
        <v>37.0</v>
      </c>
      <c r="T45" s="199">
        <v>41.0</v>
      </c>
      <c r="U45" s="199">
        <v>34.0</v>
      </c>
      <c r="V45" s="199">
        <v>36.0</v>
      </c>
      <c r="W45" s="133"/>
      <c r="X45" s="133"/>
      <c r="Y45" s="133"/>
      <c r="Z45" s="133"/>
      <c r="AA45" s="550"/>
      <c r="AB45" s="133"/>
      <c r="AC45" s="130"/>
      <c r="AD45" s="130"/>
      <c r="AE45" s="551"/>
      <c r="AF45" s="130"/>
      <c r="AG45" s="130"/>
      <c r="AH45" s="130"/>
      <c r="AI45" s="130"/>
      <c r="AJ45" s="130"/>
      <c r="AK45" s="130"/>
      <c r="AL45" s="130"/>
      <c r="AM45" s="130"/>
      <c r="AN45" s="130"/>
    </row>
    <row r="46">
      <c r="A46" s="555" t="s">
        <v>893</v>
      </c>
      <c r="B46" s="136">
        <v>0.0</v>
      </c>
      <c r="C46" s="199">
        <v>0.0</v>
      </c>
      <c r="D46" s="199">
        <v>0.0</v>
      </c>
      <c r="E46" s="199">
        <v>0.0</v>
      </c>
      <c r="F46" s="199">
        <v>0.0</v>
      </c>
      <c r="G46" s="133">
        <v>11.0</v>
      </c>
      <c r="H46" s="199">
        <v>15.0</v>
      </c>
      <c r="I46" s="199">
        <v>16.0</v>
      </c>
      <c r="J46" s="199">
        <v>17.0</v>
      </c>
      <c r="K46" s="199">
        <v>10.0</v>
      </c>
      <c r="L46" s="199">
        <v>20.0</v>
      </c>
      <c r="M46" s="199">
        <v>17.0</v>
      </c>
      <c r="N46" s="199">
        <v>26.0</v>
      </c>
      <c r="O46" s="199">
        <v>27.0</v>
      </c>
      <c r="P46" s="199">
        <v>28.0</v>
      </c>
      <c r="Q46" s="199">
        <v>21.0</v>
      </c>
      <c r="R46" s="133">
        <v>21.0</v>
      </c>
      <c r="S46" s="199">
        <v>21.0</v>
      </c>
      <c r="T46" s="199">
        <v>19.0</v>
      </c>
      <c r="U46" s="199">
        <v>25.0</v>
      </c>
      <c r="V46" s="199">
        <v>25.0</v>
      </c>
      <c r="W46" s="133"/>
      <c r="X46" s="133"/>
      <c r="Y46" s="133"/>
      <c r="Z46" s="133"/>
      <c r="AA46" s="550"/>
      <c r="AB46" s="133"/>
      <c r="AC46" s="130"/>
      <c r="AD46" s="130"/>
      <c r="AE46" s="197"/>
      <c r="AF46" s="130"/>
      <c r="AG46" s="130"/>
      <c r="AH46" s="130"/>
      <c r="AI46" s="130"/>
      <c r="AJ46" s="130"/>
      <c r="AK46" s="130"/>
      <c r="AL46" s="130"/>
      <c r="AM46" s="130"/>
      <c r="AN46" s="130"/>
    </row>
    <row r="47" hidden="1">
      <c r="A47" s="556" t="s">
        <v>894</v>
      </c>
      <c r="B47" s="136">
        <v>48.0</v>
      </c>
      <c r="C47" s="199">
        <v>52.0</v>
      </c>
      <c r="D47" s="199">
        <v>66.0</v>
      </c>
      <c r="E47" s="199">
        <v>60.0</v>
      </c>
      <c r="F47" s="199">
        <v>49.0</v>
      </c>
      <c r="G47" s="133">
        <v>47.0</v>
      </c>
      <c r="N47" s="199">
        <v>55.0</v>
      </c>
      <c r="R47" s="130"/>
      <c r="W47" s="133"/>
      <c r="X47" s="133"/>
      <c r="Y47" s="133"/>
      <c r="Z47" s="133"/>
      <c r="AA47" s="550"/>
      <c r="AB47" s="133"/>
      <c r="AC47" s="130"/>
      <c r="AD47" s="130"/>
      <c r="AE47" s="197"/>
      <c r="AF47" s="130"/>
      <c r="AG47" s="130"/>
      <c r="AH47" s="130"/>
      <c r="AI47" s="130"/>
      <c r="AJ47" s="130"/>
      <c r="AK47" s="130"/>
      <c r="AL47" s="130"/>
      <c r="AM47" s="130"/>
      <c r="AN47" s="130"/>
    </row>
    <row r="48">
      <c r="A48" s="554" t="s">
        <v>895</v>
      </c>
      <c r="B48" s="136">
        <v>36.0</v>
      </c>
      <c r="C48" s="199">
        <v>58.0</v>
      </c>
      <c r="D48" s="199">
        <v>60.0</v>
      </c>
      <c r="E48" s="199">
        <v>42.0</v>
      </c>
      <c r="F48" s="199">
        <v>50.0</v>
      </c>
      <c r="G48" s="133">
        <v>55.0</v>
      </c>
      <c r="H48" s="199">
        <v>52.0</v>
      </c>
      <c r="I48" s="199">
        <v>47.0</v>
      </c>
      <c r="J48" s="199">
        <v>56.0</v>
      </c>
      <c r="K48" s="199">
        <v>65.0</v>
      </c>
      <c r="L48" s="199">
        <v>55.0</v>
      </c>
      <c r="M48" s="199">
        <v>0.0</v>
      </c>
      <c r="N48" s="199">
        <v>55.0</v>
      </c>
      <c r="O48" s="199">
        <v>50.0</v>
      </c>
      <c r="P48" s="199">
        <v>34.0</v>
      </c>
      <c r="Q48" s="199">
        <v>39.0</v>
      </c>
      <c r="R48" s="133">
        <v>37.0</v>
      </c>
      <c r="S48" s="199">
        <v>52.0</v>
      </c>
      <c r="T48" s="199">
        <v>48.0</v>
      </c>
      <c r="U48" s="199">
        <v>50.0</v>
      </c>
      <c r="V48" s="199">
        <v>50.0</v>
      </c>
      <c r="W48" s="133"/>
      <c r="X48" s="133"/>
      <c r="Y48" s="133"/>
      <c r="Z48" s="133"/>
      <c r="AA48" s="550"/>
      <c r="AB48" s="133"/>
      <c r="AC48" s="130"/>
      <c r="AD48" s="130"/>
      <c r="AE48" s="197"/>
      <c r="AF48" s="130"/>
      <c r="AG48" s="130"/>
      <c r="AH48" s="130"/>
      <c r="AI48" s="130"/>
      <c r="AJ48" s="130"/>
      <c r="AK48" s="130"/>
      <c r="AL48" s="130"/>
      <c r="AM48" s="130"/>
      <c r="AN48" s="130"/>
    </row>
    <row r="49">
      <c r="A49" s="554" t="s">
        <v>896</v>
      </c>
      <c r="B49" s="136">
        <v>34.0</v>
      </c>
      <c r="F49" s="133"/>
      <c r="G49" s="130"/>
      <c r="P49" s="130"/>
      <c r="R49" s="133">
        <v>38.0</v>
      </c>
      <c r="S49" s="199">
        <v>32.0</v>
      </c>
      <c r="T49" s="199">
        <v>40.0</v>
      </c>
      <c r="U49" s="199">
        <v>39.0</v>
      </c>
      <c r="V49" s="199">
        <v>40.0</v>
      </c>
      <c r="W49" s="133"/>
      <c r="X49" s="133"/>
      <c r="Y49" s="133"/>
      <c r="Z49" s="133"/>
      <c r="AA49" s="550"/>
      <c r="AB49" s="133"/>
      <c r="AC49" s="130"/>
      <c r="AD49" s="130"/>
      <c r="AE49" s="197"/>
      <c r="AF49" s="130"/>
      <c r="AG49" s="130"/>
      <c r="AH49" s="130"/>
      <c r="AI49" s="130"/>
      <c r="AJ49" s="130"/>
      <c r="AK49" s="130"/>
      <c r="AL49" s="130"/>
      <c r="AM49" s="130"/>
      <c r="AN49" s="130"/>
    </row>
    <row r="50" hidden="1">
      <c r="A50" s="557" t="s">
        <v>897</v>
      </c>
      <c r="B50" s="132">
        <v>7.0</v>
      </c>
      <c r="C50" s="199">
        <v>0.0</v>
      </c>
      <c r="D50" s="199">
        <v>0.0</v>
      </c>
      <c r="E50" s="199">
        <v>0.0</v>
      </c>
      <c r="F50" s="133">
        <v>0.0</v>
      </c>
      <c r="G50" s="133">
        <v>8.0</v>
      </c>
      <c r="H50" s="199">
        <v>11.0</v>
      </c>
      <c r="P50" s="130"/>
      <c r="R50" s="558"/>
      <c r="W50" s="133"/>
      <c r="X50" s="133"/>
      <c r="Y50" s="133"/>
      <c r="Z50" s="133"/>
      <c r="AA50" s="550"/>
      <c r="AB50" s="133"/>
      <c r="AC50" s="130"/>
      <c r="AD50" s="130"/>
      <c r="AE50" s="197"/>
      <c r="AF50" s="130"/>
      <c r="AG50" s="130"/>
      <c r="AH50" s="130"/>
      <c r="AI50" s="130"/>
      <c r="AJ50" s="130"/>
      <c r="AK50" s="130"/>
      <c r="AL50" s="130"/>
      <c r="AM50" s="130"/>
      <c r="AN50" s="130"/>
    </row>
    <row r="51">
      <c r="A51" s="557" t="s">
        <v>898</v>
      </c>
      <c r="B51" s="132"/>
      <c r="C51" s="199"/>
      <c r="D51" s="199"/>
      <c r="E51" s="199"/>
      <c r="F51" s="133"/>
      <c r="G51" s="133"/>
      <c r="H51" s="199"/>
      <c r="I51" s="199">
        <v>8.0</v>
      </c>
      <c r="J51" s="199">
        <v>10.0</v>
      </c>
      <c r="K51" s="199">
        <v>8.0</v>
      </c>
      <c r="L51" s="199">
        <v>11.0</v>
      </c>
      <c r="M51" s="199">
        <v>11.0</v>
      </c>
      <c r="N51" s="199">
        <v>6.0</v>
      </c>
      <c r="O51" s="199">
        <v>10.0</v>
      </c>
      <c r="P51" s="133">
        <v>9.0</v>
      </c>
      <c r="Q51" s="199">
        <v>3.0</v>
      </c>
      <c r="R51" s="133">
        <v>11.0</v>
      </c>
      <c r="S51" s="199">
        <v>0.0</v>
      </c>
      <c r="T51" s="199">
        <v>3.0</v>
      </c>
      <c r="U51" s="199">
        <v>9.0</v>
      </c>
      <c r="V51" s="199">
        <v>9.0</v>
      </c>
      <c r="W51" s="133"/>
      <c r="X51" s="133"/>
      <c r="Y51" s="133"/>
      <c r="Z51" s="133"/>
      <c r="AA51" s="550"/>
      <c r="AB51" s="133"/>
      <c r="AC51" s="130"/>
      <c r="AD51" s="130"/>
      <c r="AE51" s="197"/>
      <c r="AF51" s="130"/>
      <c r="AG51" s="130"/>
      <c r="AH51" s="130"/>
      <c r="AI51" s="130"/>
      <c r="AJ51" s="130"/>
      <c r="AK51" s="130"/>
      <c r="AL51" s="130"/>
      <c r="AM51" s="130"/>
      <c r="AN51" s="130"/>
    </row>
    <row r="52">
      <c r="A52" s="557" t="s">
        <v>899</v>
      </c>
      <c r="B52" s="132"/>
      <c r="C52" s="199"/>
      <c r="D52" s="199"/>
      <c r="E52" s="199"/>
      <c r="F52" s="133"/>
      <c r="G52" s="133"/>
      <c r="H52" s="199"/>
      <c r="I52" s="199">
        <v>6.0</v>
      </c>
      <c r="J52" s="199">
        <v>6.0</v>
      </c>
      <c r="K52" s="199">
        <v>0.0</v>
      </c>
      <c r="L52" s="199">
        <v>0.0</v>
      </c>
      <c r="M52" s="199">
        <v>0.0</v>
      </c>
      <c r="N52" s="199">
        <v>3.0</v>
      </c>
      <c r="O52" s="199">
        <v>3.0</v>
      </c>
      <c r="P52" s="133">
        <v>5.0</v>
      </c>
      <c r="Q52" s="199">
        <v>0.0</v>
      </c>
      <c r="R52" s="133">
        <v>3.0</v>
      </c>
      <c r="S52" s="199">
        <v>6.0</v>
      </c>
      <c r="T52" s="199">
        <v>6.0</v>
      </c>
      <c r="U52" s="199">
        <v>3.0</v>
      </c>
      <c r="V52" s="199">
        <v>4.0</v>
      </c>
      <c r="W52" s="133"/>
      <c r="X52" s="133"/>
      <c r="Y52" s="133"/>
      <c r="Z52" s="133"/>
      <c r="AA52" s="550"/>
      <c r="AB52" s="133"/>
      <c r="AC52" s="130"/>
      <c r="AD52" s="130"/>
      <c r="AE52" s="197"/>
      <c r="AF52" s="130"/>
      <c r="AG52" s="130"/>
      <c r="AH52" s="130"/>
      <c r="AI52" s="130"/>
      <c r="AJ52" s="130"/>
      <c r="AK52" s="130"/>
      <c r="AL52" s="130"/>
      <c r="AM52" s="130"/>
      <c r="AN52" s="130"/>
    </row>
    <row r="53">
      <c r="A53" s="557" t="s">
        <v>900</v>
      </c>
      <c r="B53" s="132"/>
      <c r="C53" s="199"/>
      <c r="D53" s="199"/>
      <c r="E53" s="199"/>
      <c r="F53" s="133"/>
      <c r="G53" s="133"/>
      <c r="H53" s="199"/>
      <c r="I53" s="133"/>
      <c r="J53" s="199"/>
      <c r="K53" s="199"/>
      <c r="N53" s="482"/>
      <c r="O53" s="199">
        <v>0.0</v>
      </c>
      <c r="P53" s="133">
        <v>5.0</v>
      </c>
      <c r="Q53" s="199">
        <v>5.0</v>
      </c>
      <c r="R53" s="133">
        <v>4.0</v>
      </c>
      <c r="S53" s="199">
        <v>6.0</v>
      </c>
      <c r="T53" s="199">
        <v>4.0</v>
      </c>
      <c r="U53" s="199">
        <v>4.0</v>
      </c>
      <c r="V53" s="199">
        <v>4.0</v>
      </c>
      <c r="W53" s="133"/>
      <c r="X53" s="133"/>
      <c r="Y53" s="133"/>
      <c r="Z53" s="133"/>
      <c r="AA53" s="550"/>
      <c r="AB53" s="133"/>
      <c r="AC53" s="130"/>
      <c r="AD53" s="130"/>
      <c r="AE53" s="197"/>
      <c r="AF53" s="130"/>
      <c r="AG53" s="130"/>
      <c r="AH53" s="130"/>
      <c r="AI53" s="130"/>
      <c r="AJ53" s="130"/>
      <c r="AK53" s="130"/>
      <c r="AL53" s="130"/>
      <c r="AM53" s="130"/>
      <c r="AN53" s="130"/>
    </row>
    <row r="54">
      <c r="A54" s="557" t="s">
        <v>901</v>
      </c>
      <c r="B54" s="132"/>
      <c r="C54" s="199"/>
      <c r="D54" s="199"/>
      <c r="E54" s="199"/>
      <c r="F54" s="133"/>
      <c r="G54" s="133"/>
      <c r="H54" s="199"/>
      <c r="I54" s="133">
        <v>0.0</v>
      </c>
      <c r="J54" s="199">
        <v>0.0</v>
      </c>
      <c r="K54" s="199">
        <v>0.0</v>
      </c>
      <c r="L54" s="199">
        <v>3.0</v>
      </c>
      <c r="M54" s="199">
        <v>3.0</v>
      </c>
      <c r="N54" s="199">
        <v>6.0</v>
      </c>
      <c r="O54" s="199">
        <v>3.0</v>
      </c>
      <c r="P54" s="133">
        <v>6.0</v>
      </c>
      <c r="Q54" s="133">
        <v>0.0</v>
      </c>
      <c r="R54" s="133">
        <v>3.0</v>
      </c>
      <c r="S54" s="199">
        <v>8.0</v>
      </c>
      <c r="T54" s="199">
        <v>5.0</v>
      </c>
      <c r="U54" s="199">
        <v>5.0</v>
      </c>
      <c r="V54" s="199">
        <v>5.0</v>
      </c>
      <c r="W54" s="133"/>
      <c r="X54" s="133"/>
      <c r="Y54" s="133"/>
      <c r="Z54" s="133"/>
      <c r="AA54" s="550"/>
      <c r="AB54" s="133"/>
      <c r="AC54" s="130"/>
      <c r="AD54" s="130"/>
      <c r="AE54" s="197"/>
      <c r="AF54" s="130"/>
      <c r="AG54" s="130"/>
      <c r="AH54" s="130"/>
      <c r="AI54" s="130"/>
      <c r="AJ54" s="130"/>
      <c r="AK54" s="130"/>
      <c r="AL54" s="130"/>
      <c r="AM54" s="130"/>
      <c r="AN54" s="130"/>
    </row>
    <row r="55">
      <c r="A55" s="557" t="s">
        <v>902</v>
      </c>
      <c r="B55" s="136" t="s">
        <v>59</v>
      </c>
      <c r="C55" s="482" t="s">
        <v>59</v>
      </c>
      <c r="D55" s="482" t="s">
        <v>59</v>
      </c>
      <c r="E55" s="482" t="s">
        <v>59</v>
      </c>
      <c r="F55" s="200" t="s">
        <v>59</v>
      </c>
      <c r="G55" s="200" t="s">
        <v>59</v>
      </c>
      <c r="H55" s="482" t="s">
        <v>59</v>
      </c>
      <c r="I55" s="199">
        <v>36.0</v>
      </c>
      <c r="J55" s="199">
        <v>33.0</v>
      </c>
      <c r="K55" s="133">
        <v>32.0</v>
      </c>
      <c r="L55" s="199">
        <v>28.0</v>
      </c>
      <c r="M55" s="199">
        <v>23.0</v>
      </c>
      <c r="O55" s="199">
        <v>43.0</v>
      </c>
      <c r="P55" s="133"/>
      <c r="Q55" s="133">
        <v>21.0</v>
      </c>
      <c r="R55" s="199">
        <v>48.0</v>
      </c>
      <c r="S55" s="199">
        <v>45.0</v>
      </c>
      <c r="T55" s="200" t="s">
        <v>903</v>
      </c>
      <c r="U55" s="199">
        <v>62.0</v>
      </c>
      <c r="V55" s="199">
        <v>44.0</v>
      </c>
      <c r="W55" s="133"/>
      <c r="X55" s="133"/>
      <c r="Y55" s="133"/>
      <c r="Z55" s="133"/>
      <c r="AA55" s="550"/>
      <c r="AB55" s="133"/>
      <c r="AC55" s="130"/>
      <c r="AD55" s="130"/>
      <c r="AE55" s="197"/>
      <c r="AF55" s="130"/>
      <c r="AG55" s="130"/>
      <c r="AH55" s="130"/>
      <c r="AI55" s="130"/>
      <c r="AJ55" s="130"/>
      <c r="AK55" s="130"/>
      <c r="AL55" s="130"/>
      <c r="AM55" s="130"/>
      <c r="AN55" s="130"/>
    </row>
    <row r="56">
      <c r="A56" s="559" t="s">
        <v>46</v>
      </c>
      <c r="B56" s="127"/>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548"/>
      <c r="AB56" s="130"/>
      <c r="AC56" s="130"/>
      <c r="AD56" s="130"/>
      <c r="AE56" s="130"/>
      <c r="AF56" s="130"/>
      <c r="AG56" s="130"/>
      <c r="AH56" s="130"/>
      <c r="AI56" s="130"/>
      <c r="AJ56" s="130"/>
      <c r="AK56" s="130"/>
      <c r="AL56" s="130"/>
      <c r="AM56" s="130"/>
      <c r="AN56" s="130"/>
    </row>
    <row r="57">
      <c r="A57" s="560" t="s">
        <v>885</v>
      </c>
      <c r="B57" s="132">
        <v>55.0</v>
      </c>
      <c r="C57" s="133">
        <v>55.0</v>
      </c>
      <c r="D57" s="133">
        <v>45.0</v>
      </c>
      <c r="E57" s="133">
        <v>23.0</v>
      </c>
      <c r="F57" s="133">
        <v>45.0</v>
      </c>
      <c r="G57" s="133">
        <v>34.0</v>
      </c>
      <c r="H57" s="133">
        <v>37.0</v>
      </c>
      <c r="I57" s="133">
        <v>42.0</v>
      </c>
      <c r="J57" s="200">
        <v>21.0</v>
      </c>
      <c r="K57" s="133">
        <v>6.0</v>
      </c>
      <c r="L57" s="482">
        <v>8.0</v>
      </c>
      <c r="M57" s="133">
        <v>25.0</v>
      </c>
      <c r="N57" s="199">
        <v>29.0</v>
      </c>
      <c r="O57" s="133">
        <v>29.0</v>
      </c>
      <c r="P57" s="133">
        <v>26.0</v>
      </c>
      <c r="Q57" s="133">
        <v>16.0</v>
      </c>
      <c r="R57" s="133">
        <v>13.0</v>
      </c>
      <c r="S57" s="199">
        <v>43.0</v>
      </c>
      <c r="T57" s="199">
        <v>34.0</v>
      </c>
      <c r="U57" s="201">
        <v>34.0</v>
      </c>
      <c r="V57" s="133"/>
      <c r="W57" s="133"/>
      <c r="X57" s="133"/>
      <c r="Y57" s="133"/>
      <c r="Z57" s="133"/>
      <c r="AA57" s="550"/>
      <c r="AB57" s="130"/>
      <c r="AC57" s="130"/>
      <c r="AD57" s="130"/>
      <c r="AE57" s="130"/>
      <c r="AF57" s="130"/>
      <c r="AG57" s="130"/>
      <c r="AH57" s="130"/>
      <c r="AI57" s="130"/>
      <c r="AJ57" s="130"/>
      <c r="AK57" s="130"/>
      <c r="AL57" s="130"/>
      <c r="AM57" s="130"/>
      <c r="AN57" s="130"/>
    </row>
    <row r="58">
      <c r="A58" s="560" t="s">
        <v>886</v>
      </c>
      <c r="B58" s="132">
        <v>34.0</v>
      </c>
      <c r="C58" s="133">
        <v>34.0</v>
      </c>
      <c r="D58" s="133">
        <v>31.0</v>
      </c>
      <c r="E58" s="133">
        <v>36.0</v>
      </c>
      <c r="F58" s="133">
        <v>26.0</v>
      </c>
      <c r="G58" s="133">
        <v>29.0</v>
      </c>
      <c r="H58" s="133">
        <v>29.0</v>
      </c>
      <c r="I58" s="133">
        <v>31.0</v>
      </c>
      <c r="J58" s="200">
        <v>34.0</v>
      </c>
      <c r="K58" s="133">
        <v>29.0</v>
      </c>
      <c r="L58" s="482">
        <v>21.0</v>
      </c>
      <c r="M58" s="133">
        <v>21.0</v>
      </c>
      <c r="N58" s="199">
        <v>34.0</v>
      </c>
      <c r="O58" s="133">
        <v>34.0</v>
      </c>
      <c r="P58" s="133">
        <v>34.0</v>
      </c>
      <c r="Q58" s="133">
        <v>5.0</v>
      </c>
      <c r="R58" s="133">
        <v>26.0</v>
      </c>
      <c r="S58" s="199">
        <v>29.0</v>
      </c>
      <c r="T58" s="199">
        <v>36.0</v>
      </c>
      <c r="U58" s="197">
        <v>39.0</v>
      </c>
      <c r="V58" s="130"/>
      <c r="W58" s="130"/>
      <c r="X58" s="130"/>
      <c r="Y58" s="130"/>
      <c r="Z58" s="130"/>
      <c r="AA58" s="561"/>
      <c r="AB58" s="130"/>
      <c r="AC58" s="130"/>
      <c r="AD58" s="130"/>
      <c r="AE58" s="130"/>
      <c r="AF58" s="130"/>
      <c r="AG58" s="130"/>
      <c r="AH58" s="130"/>
      <c r="AI58" s="130"/>
      <c r="AJ58" s="130"/>
      <c r="AK58" s="130"/>
      <c r="AL58" s="130"/>
      <c r="AM58" s="130"/>
      <c r="AN58" s="130"/>
    </row>
    <row r="59">
      <c r="A59" s="562" t="s">
        <v>887</v>
      </c>
      <c r="B59" s="137"/>
      <c r="C59" s="133"/>
      <c r="D59" s="133"/>
      <c r="E59" s="133"/>
      <c r="F59" s="133"/>
      <c r="G59" s="133"/>
      <c r="H59" s="133"/>
      <c r="I59" s="133"/>
      <c r="J59" s="200"/>
      <c r="K59" s="133"/>
      <c r="L59" s="133"/>
      <c r="M59" s="133"/>
      <c r="O59" s="133"/>
      <c r="P59" s="133"/>
      <c r="Q59" s="133"/>
      <c r="R59" s="133"/>
      <c r="T59" s="133">
        <v>42.0</v>
      </c>
      <c r="U59" s="201">
        <v>0.0</v>
      </c>
      <c r="V59" s="133"/>
      <c r="W59" s="133"/>
      <c r="X59" s="133"/>
      <c r="Y59" s="133"/>
      <c r="Z59" s="133"/>
      <c r="AA59" s="550"/>
      <c r="AB59" s="130"/>
      <c r="AC59" s="130"/>
      <c r="AD59" s="130"/>
      <c r="AE59" s="130"/>
      <c r="AF59" s="130"/>
      <c r="AG59" s="130"/>
      <c r="AH59" s="130"/>
      <c r="AI59" s="130"/>
      <c r="AJ59" s="130"/>
      <c r="AK59" s="130"/>
      <c r="AL59" s="130"/>
      <c r="AM59" s="130"/>
      <c r="AN59" s="130"/>
    </row>
    <row r="60">
      <c r="A60" s="563" t="s">
        <v>888</v>
      </c>
      <c r="B60" s="137">
        <v>14.0</v>
      </c>
      <c r="C60" s="133">
        <v>0.0</v>
      </c>
      <c r="D60" s="133">
        <v>47.0</v>
      </c>
      <c r="E60" s="133">
        <v>62.0</v>
      </c>
      <c r="F60" s="133">
        <v>59.0</v>
      </c>
      <c r="G60" s="133">
        <v>52.0</v>
      </c>
      <c r="H60" s="133">
        <v>47.0</v>
      </c>
      <c r="I60" s="133">
        <v>44.0</v>
      </c>
      <c r="J60" s="200">
        <v>16.0</v>
      </c>
      <c r="K60" s="133">
        <v>40.0</v>
      </c>
      <c r="L60" s="133">
        <v>14.0</v>
      </c>
      <c r="M60" s="133">
        <v>7.0</v>
      </c>
      <c r="N60" s="199">
        <v>29.0</v>
      </c>
      <c r="O60" s="133">
        <v>16.0</v>
      </c>
      <c r="P60" s="133">
        <v>34.0</v>
      </c>
      <c r="Q60" s="133">
        <v>29.0</v>
      </c>
      <c r="R60" s="133">
        <v>10.0</v>
      </c>
      <c r="S60" s="199">
        <v>37.0</v>
      </c>
      <c r="T60" s="133">
        <v>34.0</v>
      </c>
      <c r="U60" s="508">
        <v>44.0</v>
      </c>
      <c r="V60" s="130"/>
      <c r="W60" s="130"/>
      <c r="X60" s="130"/>
      <c r="Y60" s="130"/>
      <c r="Z60" s="130"/>
      <c r="AA60" s="561"/>
      <c r="AB60" s="130"/>
      <c r="AC60" s="130"/>
      <c r="AD60" s="130"/>
      <c r="AE60" s="130"/>
      <c r="AF60" s="130"/>
      <c r="AG60" s="130"/>
      <c r="AH60" s="130"/>
      <c r="AI60" s="130"/>
      <c r="AJ60" s="130"/>
      <c r="AK60" s="130"/>
      <c r="AL60" s="130"/>
      <c r="AM60" s="130"/>
      <c r="AN60" s="130"/>
    </row>
    <row r="61">
      <c r="A61" s="562" t="s">
        <v>889</v>
      </c>
      <c r="B61" s="137">
        <v>0.0</v>
      </c>
      <c r="C61" s="133">
        <v>14.0</v>
      </c>
      <c r="D61" s="133">
        <v>58.0</v>
      </c>
      <c r="E61" s="133">
        <v>46.0</v>
      </c>
      <c r="F61" s="133">
        <v>54.0</v>
      </c>
      <c r="G61" s="133">
        <v>39.0</v>
      </c>
      <c r="H61" s="133">
        <v>36.0</v>
      </c>
      <c r="I61" s="133">
        <v>20.0</v>
      </c>
      <c r="J61" s="200">
        <v>19.0</v>
      </c>
      <c r="K61" s="133">
        <v>29.0</v>
      </c>
      <c r="L61" s="133">
        <v>46.0</v>
      </c>
      <c r="M61" s="133">
        <v>34.0</v>
      </c>
      <c r="N61" s="199">
        <v>42.0</v>
      </c>
      <c r="O61" s="133">
        <v>29.0</v>
      </c>
      <c r="P61" s="133">
        <v>25.0</v>
      </c>
      <c r="Q61" s="133">
        <v>21.0</v>
      </c>
      <c r="R61" s="133">
        <v>13.0</v>
      </c>
      <c r="S61" s="199">
        <v>2.0</v>
      </c>
      <c r="T61" s="133">
        <v>46.0</v>
      </c>
      <c r="U61" s="508">
        <v>39.0</v>
      </c>
      <c r="V61" s="133"/>
      <c r="W61" s="133"/>
      <c r="X61" s="133"/>
      <c r="Y61" s="133"/>
      <c r="Z61" s="133"/>
      <c r="AA61" s="550"/>
      <c r="AB61" s="130"/>
      <c r="AC61" s="130"/>
      <c r="AD61" s="130"/>
      <c r="AE61" s="130"/>
      <c r="AF61" s="130"/>
      <c r="AG61" s="130"/>
      <c r="AH61" s="130"/>
      <c r="AI61" s="130"/>
      <c r="AJ61" s="130"/>
      <c r="AK61" s="130"/>
      <c r="AL61" s="130"/>
      <c r="AM61" s="130"/>
      <c r="AN61" s="130"/>
    </row>
    <row r="62">
      <c r="A62" s="562" t="s">
        <v>890</v>
      </c>
      <c r="B62" s="137"/>
      <c r="C62" s="133"/>
      <c r="D62" s="133"/>
      <c r="E62" s="133"/>
      <c r="F62" s="133"/>
      <c r="G62" s="133"/>
      <c r="H62" s="133"/>
      <c r="I62" s="133"/>
      <c r="J62" s="200"/>
      <c r="K62" s="133"/>
      <c r="L62" s="133"/>
      <c r="M62" s="133"/>
      <c r="O62" s="133"/>
      <c r="P62" s="133"/>
      <c r="Q62" s="133"/>
      <c r="R62" s="133"/>
      <c r="S62" s="199">
        <v>4.0</v>
      </c>
      <c r="T62" s="133">
        <v>8.0</v>
      </c>
      <c r="U62" s="201">
        <v>11.0</v>
      </c>
      <c r="V62" s="133"/>
      <c r="W62" s="133"/>
      <c r="X62" s="133"/>
      <c r="Y62" s="133"/>
      <c r="Z62" s="133"/>
      <c r="AA62" s="550"/>
      <c r="AB62" s="130"/>
      <c r="AC62" s="130"/>
      <c r="AD62" s="130"/>
      <c r="AE62" s="130"/>
      <c r="AF62" s="130"/>
      <c r="AG62" s="130"/>
      <c r="AH62" s="130"/>
      <c r="AI62" s="130"/>
      <c r="AJ62" s="130"/>
      <c r="AK62" s="130"/>
      <c r="AL62" s="130"/>
      <c r="AM62" s="130"/>
      <c r="AN62" s="130"/>
    </row>
    <row r="63">
      <c r="A63" s="564" t="s">
        <v>891</v>
      </c>
      <c r="B63" s="137">
        <v>60.0</v>
      </c>
      <c r="C63" s="133">
        <v>69.0</v>
      </c>
      <c r="D63" s="133">
        <v>46.0</v>
      </c>
      <c r="E63" s="133">
        <v>37.0</v>
      </c>
      <c r="F63" s="133">
        <v>29.0</v>
      </c>
      <c r="G63" s="133">
        <v>61.0</v>
      </c>
      <c r="H63" s="133">
        <v>18.0</v>
      </c>
      <c r="I63" s="133">
        <v>26.0</v>
      </c>
      <c r="J63" s="200">
        <v>50.0</v>
      </c>
      <c r="K63" s="133">
        <v>49.0</v>
      </c>
      <c r="L63" s="133">
        <v>45.0</v>
      </c>
      <c r="M63" s="133">
        <v>3.0</v>
      </c>
      <c r="N63" s="199">
        <v>34.0</v>
      </c>
      <c r="O63" s="133">
        <v>1.0</v>
      </c>
      <c r="P63" s="133">
        <v>6.0</v>
      </c>
      <c r="Q63" s="133">
        <v>3.0</v>
      </c>
      <c r="R63" s="133">
        <v>11.0</v>
      </c>
      <c r="S63" s="199">
        <v>13.0</v>
      </c>
      <c r="T63" s="133">
        <v>21.0</v>
      </c>
      <c r="U63" s="201">
        <v>0.0</v>
      </c>
      <c r="V63" s="133"/>
      <c r="W63" s="133"/>
      <c r="X63" s="133"/>
      <c r="Y63" s="133"/>
      <c r="Z63" s="133"/>
      <c r="AA63" s="550"/>
      <c r="AB63" s="130"/>
      <c r="AC63" s="130"/>
      <c r="AD63" s="130"/>
      <c r="AE63" s="130"/>
      <c r="AF63" s="130"/>
      <c r="AG63" s="130"/>
      <c r="AH63" s="130"/>
      <c r="AI63" s="130"/>
      <c r="AJ63" s="130"/>
      <c r="AK63" s="130"/>
      <c r="AL63" s="130"/>
      <c r="AM63" s="130"/>
      <c r="AN63" s="130"/>
    </row>
    <row r="64">
      <c r="A64" s="562" t="s">
        <v>892</v>
      </c>
      <c r="B64" s="137">
        <v>8.0</v>
      </c>
      <c r="C64" s="133">
        <v>26.0</v>
      </c>
      <c r="D64" s="133">
        <v>23.0</v>
      </c>
      <c r="E64" s="133">
        <v>41.0</v>
      </c>
      <c r="F64" s="199">
        <v>8.0</v>
      </c>
      <c r="G64" s="133">
        <v>34.0</v>
      </c>
      <c r="H64" s="133">
        <v>3.0</v>
      </c>
      <c r="I64" s="133">
        <v>4.0</v>
      </c>
      <c r="J64" s="200">
        <v>30.0</v>
      </c>
      <c r="K64" s="133">
        <v>34.0</v>
      </c>
      <c r="L64" s="133">
        <v>38.0</v>
      </c>
      <c r="M64" s="133">
        <v>14.0</v>
      </c>
      <c r="N64" s="199">
        <v>43.0</v>
      </c>
      <c r="O64" s="133">
        <v>17.0</v>
      </c>
      <c r="P64" s="133">
        <v>7.0</v>
      </c>
      <c r="Q64" s="133">
        <v>2.0</v>
      </c>
      <c r="R64" s="133">
        <v>25.0</v>
      </c>
      <c r="S64" s="199">
        <v>24.0</v>
      </c>
      <c r="T64" s="133">
        <v>35.0</v>
      </c>
      <c r="U64" s="201">
        <v>4.0</v>
      </c>
      <c r="V64" s="133"/>
      <c r="W64" s="133"/>
      <c r="X64" s="133"/>
      <c r="Y64" s="133"/>
      <c r="Z64" s="133"/>
      <c r="AA64" s="550"/>
      <c r="AB64" s="130"/>
      <c r="AC64" s="130"/>
      <c r="AD64" s="130"/>
      <c r="AE64" s="130"/>
      <c r="AF64" s="130"/>
      <c r="AG64" s="130"/>
      <c r="AH64" s="130"/>
      <c r="AI64" s="130"/>
      <c r="AJ64" s="130"/>
      <c r="AK64" s="130"/>
      <c r="AL64" s="130"/>
      <c r="AM64" s="130"/>
      <c r="AN64" s="130"/>
    </row>
    <row r="65">
      <c r="A65" s="555" t="s">
        <v>893</v>
      </c>
      <c r="B65" s="136">
        <v>0.0</v>
      </c>
      <c r="C65" s="199">
        <v>0.0</v>
      </c>
      <c r="D65" s="199">
        <v>0.0</v>
      </c>
      <c r="E65" s="199">
        <v>0.0</v>
      </c>
      <c r="F65" s="199">
        <v>0.0</v>
      </c>
      <c r="G65" s="133">
        <v>8.0</v>
      </c>
      <c r="H65" s="133">
        <v>4.0</v>
      </c>
      <c r="I65" s="133">
        <v>0.0</v>
      </c>
      <c r="J65" s="200">
        <v>14.0</v>
      </c>
      <c r="K65" s="133">
        <v>10.0</v>
      </c>
      <c r="L65" s="133">
        <v>12.0</v>
      </c>
      <c r="M65" s="133">
        <v>14.0</v>
      </c>
      <c r="N65" s="199">
        <v>20.0</v>
      </c>
      <c r="O65" s="133">
        <v>9.0</v>
      </c>
      <c r="P65" s="133">
        <v>8.0</v>
      </c>
      <c r="Q65" s="133">
        <v>0.0</v>
      </c>
      <c r="R65" s="133">
        <v>16.0</v>
      </c>
      <c r="S65" s="199">
        <v>8.0</v>
      </c>
      <c r="T65" s="133">
        <v>19.0</v>
      </c>
      <c r="U65" s="508">
        <v>22.0</v>
      </c>
      <c r="V65" s="133"/>
      <c r="W65" s="133"/>
      <c r="X65" s="133"/>
      <c r="Y65" s="133"/>
      <c r="Z65" s="133"/>
      <c r="AA65" s="550"/>
      <c r="AB65" s="130"/>
      <c r="AC65" s="130"/>
      <c r="AD65" s="130"/>
      <c r="AE65" s="130"/>
      <c r="AF65" s="130"/>
      <c r="AG65" s="130"/>
      <c r="AH65" s="130"/>
      <c r="AI65" s="130"/>
      <c r="AJ65" s="130"/>
      <c r="AK65" s="130"/>
      <c r="AL65" s="130"/>
      <c r="AM65" s="130"/>
      <c r="AN65" s="130"/>
    </row>
    <row r="66" hidden="1">
      <c r="A66" s="565" t="s">
        <v>894</v>
      </c>
      <c r="B66" s="137">
        <v>14.0</v>
      </c>
      <c r="C66" s="133">
        <v>39.0</v>
      </c>
      <c r="D66" s="133">
        <v>60.0</v>
      </c>
      <c r="E66" s="133">
        <v>67.0</v>
      </c>
      <c r="F66" s="133">
        <v>54.0</v>
      </c>
      <c r="G66" s="133">
        <v>47.0</v>
      </c>
      <c r="H66" s="133"/>
      <c r="I66" s="133"/>
      <c r="J66" s="200"/>
      <c r="K66" s="133"/>
      <c r="L66" s="133"/>
      <c r="M66" s="133"/>
      <c r="O66" s="133"/>
      <c r="P66" s="133"/>
      <c r="Q66" s="133"/>
      <c r="R66" s="133"/>
      <c r="T66" s="133"/>
      <c r="U66" s="205"/>
      <c r="V66" s="133"/>
      <c r="W66" s="133"/>
      <c r="X66" s="133"/>
      <c r="Y66" s="133"/>
      <c r="Z66" s="133"/>
      <c r="AA66" s="550"/>
      <c r="AB66" s="130"/>
      <c r="AC66" s="130"/>
      <c r="AD66" s="130"/>
      <c r="AE66" s="130"/>
      <c r="AF66" s="130"/>
      <c r="AG66" s="130"/>
      <c r="AH66" s="130"/>
      <c r="AI66" s="130"/>
      <c r="AJ66" s="130"/>
      <c r="AK66" s="130"/>
      <c r="AL66" s="130"/>
      <c r="AM66" s="130"/>
      <c r="AN66" s="130"/>
    </row>
    <row r="67">
      <c r="A67" s="564" t="s">
        <v>895</v>
      </c>
      <c r="B67" s="137">
        <v>29.0</v>
      </c>
      <c r="C67" s="133">
        <v>56.0</v>
      </c>
      <c r="D67" s="133">
        <v>59.0</v>
      </c>
      <c r="E67" s="133">
        <v>37.0</v>
      </c>
      <c r="F67" s="133">
        <v>0.0</v>
      </c>
      <c r="G67" s="133">
        <v>41.0</v>
      </c>
      <c r="H67" s="133">
        <v>4.0</v>
      </c>
      <c r="I67" s="133">
        <v>47.0</v>
      </c>
      <c r="J67" s="200">
        <v>34.0</v>
      </c>
      <c r="K67" s="133">
        <v>62.0</v>
      </c>
      <c r="L67" s="133">
        <v>43.0</v>
      </c>
      <c r="M67" s="133">
        <v>0.0</v>
      </c>
      <c r="N67" s="199">
        <v>56.0</v>
      </c>
      <c r="O67" s="133">
        <v>43.0</v>
      </c>
      <c r="P67" s="133">
        <v>0.0</v>
      </c>
      <c r="Q67" s="133">
        <v>19.0</v>
      </c>
      <c r="R67" s="133">
        <v>50.0</v>
      </c>
      <c r="S67" s="199">
        <v>33.0</v>
      </c>
      <c r="T67" s="133">
        <v>69.0</v>
      </c>
      <c r="U67" s="508">
        <v>52.0</v>
      </c>
      <c r="V67" s="133"/>
      <c r="W67" s="133"/>
      <c r="X67" s="133"/>
      <c r="Y67" s="133"/>
      <c r="Z67" s="133"/>
      <c r="AA67" s="550"/>
      <c r="AB67" s="130"/>
      <c r="AC67" s="130"/>
      <c r="AD67" s="130"/>
      <c r="AE67" s="130"/>
      <c r="AF67" s="130"/>
      <c r="AG67" s="130"/>
      <c r="AH67" s="130"/>
      <c r="AI67" s="130"/>
      <c r="AJ67" s="130"/>
      <c r="AK67" s="130"/>
      <c r="AL67" s="130"/>
      <c r="AM67" s="130"/>
      <c r="AN67" s="130"/>
    </row>
    <row r="68">
      <c r="A68" s="562" t="s">
        <v>896</v>
      </c>
      <c r="B68" s="137">
        <v>34.0</v>
      </c>
      <c r="C68" s="133"/>
      <c r="D68" s="133"/>
      <c r="E68" s="133"/>
      <c r="F68" s="133"/>
      <c r="G68" s="133"/>
      <c r="H68" s="133"/>
      <c r="I68" s="133"/>
      <c r="J68" s="200"/>
      <c r="K68" s="133"/>
      <c r="L68" s="133"/>
      <c r="M68" s="133"/>
      <c r="O68" s="133"/>
      <c r="P68" s="133"/>
      <c r="Q68" s="133"/>
      <c r="R68" s="133">
        <v>21.0</v>
      </c>
      <c r="S68" s="199">
        <v>18.0</v>
      </c>
      <c r="T68" s="133">
        <v>41.0</v>
      </c>
      <c r="U68" s="201">
        <v>36.0</v>
      </c>
      <c r="V68" s="133"/>
      <c r="W68" s="133"/>
      <c r="X68" s="133"/>
      <c r="Y68" s="133"/>
      <c r="Z68" s="133"/>
      <c r="AA68" s="550"/>
      <c r="AB68" s="130"/>
      <c r="AC68" s="130"/>
      <c r="AD68" s="130"/>
      <c r="AE68" s="130"/>
      <c r="AF68" s="130"/>
      <c r="AG68" s="130"/>
      <c r="AH68" s="130"/>
      <c r="AI68" s="130"/>
      <c r="AJ68" s="130"/>
      <c r="AK68" s="130"/>
      <c r="AL68" s="130"/>
      <c r="AM68" s="130"/>
      <c r="AN68" s="130"/>
    </row>
    <row r="69">
      <c r="A69" s="557" t="s">
        <v>898</v>
      </c>
      <c r="B69" s="137">
        <v>2.0</v>
      </c>
      <c r="C69" s="133">
        <v>0.0</v>
      </c>
      <c r="D69" s="133">
        <v>0.0</v>
      </c>
      <c r="E69" s="133">
        <v>0.0</v>
      </c>
      <c r="F69" s="133">
        <v>0.0</v>
      </c>
      <c r="G69" s="133">
        <v>0.0</v>
      </c>
      <c r="H69" s="133">
        <v>3.0</v>
      </c>
      <c r="I69" s="133">
        <v>0.0</v>
      </c>
      <c r="J69" s="200">
        <v>10.0</v>
      </c>
      <c r="K69" s="133">
        <v>8.0</v>
      </c>
      <c r="L69" s="199">
        <v>11.0</v>
      </c>
      <c r="M69" s="133">
        <v>17.0</v>
      </c>
      <c r="N69" s="199">
        <v>27.0</v>
      </c>
      <c r="O69" s="133">
        <v>13.0</v>
      </c>
      <c r="P69" s="133">
        <v>6.0</v>
      </c>
      <c r="Q69" s="133">
        <v>6.0</v>
      </c>
      <c r="R69" s="133">
        <v>14.0</v>
      </c>
      <c r="S69" s="199">
        <v>6.0</v>
      </c>
      <c r="T69" s="133">
        <v>6.0</v>
      </c>
      <c r="U69" s="201">
        <v>6.0</v>
      </c>
      <c r="V69" s="133"/>
      <c r="W69" s="133"/>
      <c r="X69" s="133"/>
      <c r="Y69" s="133"/>
      <c r="Z69" s="133"/>
      <c r="AA69" s="550"/>
      <c r="AB69" s="130"/>
      <c r="AC69" s="130"/>
      <c r="AD69" s="130"/>
      <c r="AE69" s="130"/>
      <c r="AF69" s="130"/>
      <c r="AG69" s="130"/>
      <c r="AH69" s="130"/>
      <c r="AI69" s="130"/>
      <c r="AJ69" s="130"/>
      <c r="AK69" s="130"/>
      <c r="AL69" s="130"/>
      <c r="AM69" s="130"/>
      <c r="AN69" s="130"/>
    </row>
    <row r="70">
      <c r="A70" s="557" t="s">
        <v>899</v>
      </c>
      <c r="B70" s="132"/>
      <c r="C70" s="133"/>
      <c r="D70" s="133"/>
      <c r="E70" s="133"/>
      <c r="F70" s="133"/>
      <c r="G70" s="132"/>
      <c r="H70" s="133"/>
      <c r="I70" s="133">
        <v>0.0</v>
      </c>
      <c r="J70" s="200">
        <v>7.0</v>
      </c>
      <c r="K70" s="133">
        <v>0.0</v>
      </c>
      <c r="L70" s="199">
        <v>0.0</v>
      </c>
      <c r="M70" s="133">
        <v>0.0</v>
      </c>
      <c r="N70" s="199">
        <v>0.0</v>
      </c>
      <c r="O70" s="133">
        <v>0.0</v>
      </c>
      <c r="P70" s="132">
        <v>0.0</v>
      </c>
      <c r="Q70" s="133">
        <v>0.0</v>
      </c>
      <c r="R70" s="133">
        <v>0.0</v>
      </c>
      <c r="S70" s="199">
        <v>0.0</v>
      </c>
      <c r="T70" s="133">
        <v>0.0</v>
      </c>
      <c r="U70" s="201">
        <v>0.0</v>
      </c>
      <c r="V70" s="132"/>
      <c r="W70" s="133"/>
      <c r="X70" s="133"/>
      <c r="Y70" s="133"/>
      <c r="Z70" s="133"/>
      <c r="AA70" s="566"/>
      <c r="AB70" s="133"/>
      <c r="AC70" s="130"/>
      <c r="AD70" s="130"/>
      <c r="AE70" s="130"/>
      <c r="AF70" s="130"/>
      <c r="AG70" s="130"/>
      <c r="AH70" s="130"/>
      <c r="AI70" s="130"/>
      <c r="AJ70" s="130"/>
      <c r="AK70" s="130"/>
      <c r="AL70" s="130"/>
      <c r="AM70" s="130"/>
      <c r="AN70" s="130"/>
    </row>
    <row r="71">
      <c r="A71" s="557" t="s">
        <v>900</v>
      </c>
      <c r="B71" s="132"/>
      <c r="C71" s="133"/>
      <c r="D71" s="133"/>
      <c r="E71" s="133"/>
      <c r="F71" s="133"/>
      <c r="G71" s="132"/>
      <c r="H71" s="133"/>
      <c r="I71" s="133"/>
      <c r="J71" s="200"/>
      <c r="K71" s="133"/>
      <c r="L71" s="199"/>
      <c r="M71" s="133"/>
      <c r="N71" s="199"/>
      <c r="O71" s="133">
        <v>0.0</v>
      </c>
      <c r="P71" s="132">
        <v>0.0</v>
      </c>
      <c r="Q71" s="133">
        <v>0.0</v>
      </c>
      <c r="R71" s="133">
        <v>3.0</v>
      </c>
      <c r="S71" s="199">
        <v>3.0</v>
      </c>
      <c r="T71" s="133">
        <v>0.0</v>
      </c>
      <c r="U71" s="201">
        <v>0.0</v>
      </c>
      <c r="V71" s="132"/>
      <c r="W71" s="133"/>
      <c r="X71" s="133"/>
      <c r="Y71" s="133"/>
      <c r="Z71" s="133"/>
      <c r="AA71" s="566"/>
      <c r="AB71" s="133"/>
      <c r="AC71" s="130"/>
      <c r="AD71" s="130"/>
      <c r="AE71" s="130"/>
      <c r="AF71" s="130"/>
      <c r="AG71" s="130"/>
      <c r="AH71" s="130"/>
      <c r="AI71" s="130"/>
      <c r="AJ71" s="130"/>
      <c r="AK71" s="130"/>
      <c r="AL71" s="130"/>
      <c r="AM71" s="130"/>
      <c r="AN71" s="130"/>
    </row>
    <row r="72">
      <c r="A72" s="557" t="s">
        <v>901</v>
      </c>
      <c r="B72" s="132"/>
      <c r="C72" s="133"/>
      <c r="D72" s="133"/>
      <c r="E72" s="133"/>
      <c r="F72" s="133"/>
      <c r="G72" s="132"/>
      <c r="H72" s="133"/>
      <c r="I72" s="133">
        <v>0.0</v>
      </c>
      <c r="J72" s="200">
        <v>12.0</v>
      </c>
      <c r="K72" s="133">
        <v>0.0</v>
      </c>
      <c r="L72" s="199">
        <v>3.0</v>
      </c>
      <c r="M72" s="133">
        <v>3.0</v>
      </c>
      <c r="N72" s="199">
        <v>6.0</v>
      </c>
      <c r="O72" s="133">
        <v>3.0</v>
      </c>
      <c r="P72" s="132">
        <v>3.0</v>
      </c>
      <c r="Q72" s="133">
        <v>0.0</v>
      </c>
      <c r="R72" s="133">
        <v>0.0</v>
      </c>
      <c r="S72" s="199">
        <v>8.0</v>
      </c>
      <c r="T72" s="133">
        <v>6.0</v>
      </c>
      <c r="U72" s="201">
        <v>5.0</v>
      </c>
      <c r="V72" s="132"/>
      <c r="W72" s="133"/>
      <c r="X72" s="133"/>
      <c r="Y72" s="133"/>
      <c r="Z72" s="133"/>
      <c r="AA72" s="566"/>
      <c r="AB72" s="133"/>
      <c r="AC72" s="130"/>
      <c r="AD72" s="130"/>
      <c r="AE72" s="130"/>
      <c r="AF72" s="130"/>
      <c r="AG72" s="130"/>
      <c r="AH72" s="130"/>
      <c r="AI72" s="130"/>
      <c r="AJ72" s="130"/>
      <c r="AK72" s="130"/>
      <c r="AL72" s="130"/>
      <c r="AM72" s="130"/>
      <c r="AN72" s="130"/>
    </row>
    <row r="73">
      <c r="A73" s="557" t="s">
        <v>902</v>
      </c>
      <c r="B73" s="136" t="s">
        <v>59</v>
      </c>
      <c r="C73" s="482" t="s">
        <v>59</v>
      </c>
      <c r="D73" s="482" t="s">
        <v>59</v>
      </c>
      <c r="E73" s="482" t="s">
        <v>59</v>
      </c>
      <c r="F73" s="200" t="s">
        <v>59</v>
      </c>
      <c r="G73" s="200" t="s">
        <v>59</v>
      </c>
      <c r="H73" s="482" t="s">
        <v>59</v>
      </c>
      <c r="I73" s="199" t="s">
        <v>59</v>
      </c>
      <c r="J73" s="200">
        <v>29.0</v>
      </c>
      <c r="K73" s="133">
        <v>20.0</v>
      </c>
      <c r="L73" s="133">
        <v>14.0</v>
      </c>
      <c r="M73" s="133">
        <v>6.0</v>
      </c>
      <c r="N73" s="199">
        <v>18.0</v>
      </c>
      <c r="O73" s="130"/>
      <c r="P73" s="133"/>
      <c r="Q73" s="133">
        <v>5.0</v>
      </c>
      <c r="R73" s="133"/>
      <c r="T73" s="133"/>
      <c r="U73" s="133"/>
      <c r="V73" s="133"/>
      <c r="W73" s="133"/>
      <c r="X73" s="133"/>
      <c r="Y73" s="133"/>
      <c r="Z73" s="133"/>
      <c r="AA73" s="550"/>
      <c r="AB73" s="133"/>
      <c r="AC73" s="130"/>
      <c r="AD73" s="130"/>
      <c r="AE73" s="197"/>
      <c r="AF73" s="130"/>
      <c r="AG73" s="130"/>
      <c r="AH73" s="130"/>
      <c r="AI73" s="130"/>
      <c r="AJ73" s="130"/>
      <c r="AK73" s="130"/>
      <c r="AL73" s="130"/>
      <c r="AM73" s="130"/>
      <c r="AN73" s="130"/>
    </row>
    <row r="74">
      <c r="A74" s="567" t="s">
        <v>904</v>
      </c>
      <c r="B74" s="568" t="s">
        <v>905</v>
      </c>
      <c r="C74" s="569" t="s">
        <v>906</v>
      </c>
      <c r="D74" s="569" t="s">
        <v>907</v>
      </c>
      <c r="E74" s="569" t="s">
        <v>908</v>
      </c>
      <c r="F74" s="569" t="s">
        <v>909</v>
      </c>
      <c r="G74" s="568" t="s">
        <v>905</v>
      </c>
      <c r="H74" s="569" t="s">
        <v>906</v>
      </c>
      <c r="I74" s="569" t="s">
        <v>907</v>
      </c>
      <c r="J74" s="569" t="s">
        <v>908</v>
      </c>
      <c r="K74" s="569" t="s">
        <v>909</v>
      </c>
      <c r="L74" s="569" t="s">
        <v>910</v>
      </c>
      <c r="M74" s="569" t="s">
        <v>907</v>
      </c>
      <c r="N74" s="569"/>
      <c r="O74" s="569" t="s">
        <v>906</v>
      </c>
      <c r="P74" s="569"/>
      <c r="Q74" s="569"/>
      <c r="R74" s="569"/>
      <c r="S74" s="569"/>
      <c r="T74" s="569"/>
      <c r="U74" s="570"/>
      <c r="V74" s="570"/>
      <c r="W74" s="570"/>
      <c r="X74" s="570"/>
      <c r="Y74" s="570"/>
      <c r="Z74" s="570"/>
      <c r="AA74" s="570"/>
      <c r="AB74" s="133"/>
      <c r="AC74" s="130"/>
      <c r="AD74" s="130"/>
      <c r="AE74" s="130"/>
      <c r="AF74" s="130"/>
      <c r="AG74" s="130"/>
      <c r="AH74" s="130"/>
      <c r="AI74" s="130"/>
      <c r="AJ74" s="130"/>
      <c r="AK74" s="130"/>
      <c r="AL74" s="130"/>
      <c r="AM74" s="130"/>
      <c r="AN74" s="130"/>
    </row>
    <row r="75">
      <c r="A75" s="126" t="s">
        <v>225</v>
      </c>
      <c r="B75" s="410"/>
      <c r="C75" s="403"/>
      <c r="D75" s="403"/>
      <c r="E75" s="403"/>
      <c r="F75" s="403"/>
      <c r="G75" s="403"/>
      <c r="H75" s="403"/>
      <c r="I75" s="403"/>
      <c r="J75" s="403"/>
      <c r="K75" s="403"/>
      <c r="L75" s="403"/>
      <c r="M75" s="403"/>
      <c r="N75" s="403"/>
      <c r="O75" s="403"/>
      <c r="P75" s="403"/>
      <c r="Q75" s="403"/>
      <c r="R75" s="403"/>
      <c r="S75" s="403"/>
      <c r="T75" s="403"/>
      <c r="U75" s="403"/>
      <c r="V75" s="411"/>
      <c r="W75" s="403"/>
      <c r="X75" s="403"/>
      <c r="Y75" s="403"/>
      <c r="Z75" s="403"/>
      <c r="AA75" s="403"/>
      <c r="AB75" s="403"/>
      <c r="AC75" s="403"/>
      <c r="AD75" s="403"/>
      <c r="AE75" s="403"/>
      <c r="AF75" s="403"/>
      <c r="AG75" s="403"/>
      <c r="AH75" s="403"/>
      <c r="AI75" s="403"/>
      <c r="AJ75" s="403"/>
      <c r="AK75" s="403"/>
      <c r="AL75" s="403"/>
      <c r="AM75" s="403"/>
      <c r="AN75" s="403"/>
    </row>
    <row r="76">
      <c r="A76" s="482"/>
      <c r="B76" s="571"/>
      <c r="C76" s="482"/>
      <c r="D76" s="482"/>
      <c r="E76" s="572"/>
      <c r="F76" s="572"/>
      <c r="G76" s="572"/>
      <c r="H76" s="572"/>
      <c r="I76" s="572"/>
      <c r="J76" s="572"/>
      <c r="K76" s="572"/>
      <c r="L76" s="572"/>
      <c r="M76" s="572"/>
      <c r="N76" s="572"/>
      <c r="O76" s="572"/>
      <c r="P76" s="572"/>
      <c r="Q76" s="572"/>
      <c r="R76" s="572"/>
      <c r="S76" s="572"/>
      <c r="T76" s="572"/>
      <c r="U76" s="572"/>
      <c r="V76" s="572"/>
      <c r="W76" s="572"/>
      <c r="X76" s="572"/>
      <c r="Y76" s="572"/>
      <c r="Z76" s="572"/>
      <c r="AA76" s="572"/>
    </row>
    <row r="77">
      <c r="A77" s="482"/>
      <c r="B77" s="571"/>
      <c r="C77" s="482"/>
      <c r="D77" s="482"/>
      <c r="E77" s="572"/>
      <c r="F77" s="572"/>
      <c r="G77" s="572"/>
      <c r="H77" s="572"/>
      <c r="I77" s="572"/>
      <c r="J77" s="572"/>
      <c r="K77" s="572"/>
      <c r="L77" s="572"/>
      <c r="M77" s="572"/>
      <c r="N77" s="572"/>
      <c r="O77" s="572"/>
      <c r="P77" s="572"/>
      <c r="Q77" s="572"/>
      <c r="R77" s="572"/>
      <c r="S77" s="572"/>
      <c r="T77" s="572"/>
      <c r="U77" s="572"/>
      <c r="V77" s="572"/>
      <c r="W77" s="572"/>
      <c r="X77" s="572"/>
      <c r="Y77" s="572"/>
      <c r="Z77" s="572"/>
      <c r="AA77" s="572"/>
    </row>
    <row r="78">
      <c r="A78" s="482"/>
      <c r="B78" s="571"/>
      <c r="C78" s="482"/>
      <c r="D78" s="482"/>
      <c r="E78" s="572"/>
      <c r="F78" s="572"/>
      <c r="G78" s="572"/>
      <c r="H78" s="572"/>
      <c r="I78" s="572"/>
      <c r="J78" s="572"/>
      <c r="K78" s="572"/>
      <c r="L78" s="572"/>
      <c r="M78" s="572"/>
      <c r="N78" s="572"/>
      <c r="O78" s="572"/>
      <c r="P78" s="572"/>
      <c r="Q78" s="572"/>
      <c r="R78" s="572"/>
      <c r="S78" s="572"/>
      <c r="T78" s="572"/>
      <c r="U78" s="572"/>
      <c r="V78" s="572"/>
      <c r="W78" s="572"/>
      <c r="X78" s="572"/>
      <c r="Y78" s="572"/>
      <c r="Z78" s="572"/>
      <c r="AA78" s="572"/>
    </row>
    <row r="79">
      <c r="B79" s="138"/>
    </row>
    <row r="80">
      <c r="B80" s="138"/>
    </row>
    <row r="81">
      <c r="B81" s="138"/>
    </row>
    <row r="82">
      <c r="B82" s="138"/>
    </row>
    <row r="83">
      <c r="B83" s="138"/>
    </row>
    <row r="84">
      <c r="B84" s="138"/>
    </row>
    <row r="85">
      <c r="B85" s="138"/>
    </row>
    <row r="86">
      <c r="B86" s="138"/>
    </row>
    <row r="87">
      <c r="B87" s="138"/>
    </row>
    <row r="88">
      <c r="B88" s="138"/>
    </row>
    <row r="89">
      <c r="B89" s="138"/>
    </row>
    <row r="90">
      <c r="B90" s="138"/>
    </row>
    <row r="91">
      <c r="B91" s="138"/>
    </row>
    <row r="92">
      <c r="B92" s="138"/>
    </row>
    <row r="93">
      <c r="B93" s="138"/>
    </row>
    <row r="94">
      <c r="B94" s="138"/>
    </row>
    <row r="95">
      <c r="B95" s="138"/>
    </row>
    <row r="96">
      <c r="B96" s="138"/>
    </row>
    <row r="97">
      <c r="B97" s="138"/>
    </row>
    <row r="98">
      <c r="B98" s="138"/>
    </row>
    <row r="99">
      <c r="B99" s="138"/>
    </row>
    <row r="100">
      <c r="B100" s="138"/>
    </row>
    <row r="101">
      <c r="B101" s="138"/>
    </row>
    <row r="102">
      <c r="B102" s="138"/>
    </row>
    <row r="103">
      <c r="B103" s="138"/>
    </row>
    <row r="104">
      <c r="B104" s="138"/>
    </row>
    <row r="105">
      <c r="B105" s="138"/>
    </row>
    <row r="106">
      <c r="B106" s="138"/>
    </row>
    <row r="107">
      <c r="B107" s="138"/>
    </row>
    <row r="108">
      <c r="B108" s="138"/>
    </row>
    <row r="109">
      <c r="B109" s="138"/>
    </row>
    <row r="110">
      <c r="B110" s="138"/>
    </row>
    <row r="111">
      <c r="B111" s="138"/>
    </row>
    <row r="112">
      <c r="B112" s="138"/>
    </row>
    <row r="113">
      <c r="B113" s="138"/>
    </row>
    <row r="114">
      <c r="B114" s="138"/>
    </row>
    <row r="115">
      <c r="B115" s="138"/>
    </row>
    <row r="116">
      <c r="B116" s="138"/>
    </row>
    <row r="117">
      <c r="B117" s="138"/>
    </row>
    <row r="118">
      <c r="B118" s="138"/>
    </row>
    <row r="119">
      <c r="B119" s="138"/>
    </row>
    <row r="120">
      <c r="B120" s="138"/>
    </row>
    <row r="121">
      <c r="B121" s="138"/>
    </row>
    <row r="122">
      <c r="B122" s="138"/>
    </row>
    <row r="123">
      <c r="B123" s="138"/>
    </row>
    <row r="124">
      <c r="B124" s="138"/>
    </row>
    <row r="125">
      <c r="B125" s="138"/>
    </row>
    <row r="126">
      <c r="B126" s="138"/>
    </row>
    <row r="127">
      <c r="B127" s="138"/>
    </row>
    <row r="128">
      <c r="B128" s="138"/>
    </row>
    <row r="129">
      <c r="B129" s="138"/>
    </row>
    <row r="130">
      <c r="B130" s="138"/>
    </row>
    <row r="131">
      <c r="B131" s="138"/>
    </row>
    <row r="132">
      <c r="B132" s="138"/>
    </row>
    <row r="133">
      <c r="B133" s="138"/>
    </row>
    <row r="134">
      <c r="B134" s="138"/>
    </row>
    <row r="135">
      <c r="B135" s="138"/>
    </row>
    <row r="136">
      <c r="B136" s="138"/>
    </row>
    <row r="137">
      <c r="B137" s="138"/>
    </row>
    <row r="138">
      <c r="B138" s="138"/>
    </row>
    <row r="139">
      <c r="B139" s="138"/>
    </row>
    <row r="140">
      <c r="B140" s="138"/>
    </row>
    <row r="141">
      <c r="B141" s="138"/>
    </row>
    <row r="142">
      <c r="B142" s="138"/>
    </row>
    <row r="143">
      <c r="B143" s="138"/>
    </row>
    <row r="144">
      <c r="B144" s="138"/>
    </row>
    <row r="145">
      <c r="B145" s="138"/>
    </row>
    <row r="146">
      <c r="B146" s="138"/>
    </row>
    <row r="147">
      <c r="B147" s="138"/>
    </row>
    <row r="148">
      <c r="B148" s="138"/>
    </row>
    <row r="149">
      <c r="B149" s="138"/>
    </row>
    <row r="150">
      <c r="B150" s="138"/>
    </row>
    <row r="151">
      <c r="B151" s="138"/>
    </row>
    <row r="152">
      <c r="B152" s="138"/>
    </row>
    <row r="153">
      <c r="B153" s="138"/>
    </row>
    <row r="154">
      <c r="B154" s="138"/>
    </row>
    <row r="155">
      <c r="B155" s="138"/>
    </row>
    <row r="156">
      <c r="B156" s="138"/>
    </row>
    <row r="157">
      <c r="B157" s="138"/>
    </row>
    <row r="158">
      <c r="B158" s="138"/>
    </row>
    <row r="159">
      <c r="B159" s="138"/>
    </row>
    <row r="160">
      <c r="B160" s="138"/>
    </row>
    <row r="161">
      <c r="B161" s="138"/>
    </row>
    <row r="162">
      <c r="B162" s="138"/>
    </row>
    <row r="163">
      <c r="B163" s="138"/>
    </row>
    <row r="164">
      <c r="B164" s="138"/>
    </row>
    <row r="165">
      <c r="B165" s="138"/>
    </row>
    <row r="166">
      <c r="B166" s="138"/>
    </row>
    <row r="167">
      <c r="B167" s="138"/>
    </row>
    <row r="168">
      <c r="B168" s="138"/>
    </row>
    <row r="169">
      <c r="B169" s="138"/>
    </row>
    <row r="170">
      <c r="B170" s="138"/>
    </row>
    <row r="171">
      <c r="B171" s="138"/>
    </row>
    <row r="172">
      <c r="B172" s="138"/>
    </row>
    <row r="173">
      <c r="B173" s="138"/>
    </row>
    <row r="174">
      <c r="B174" s="138"/>
    </row>
    <row r="175">
      <c r="B175" s="138"/>
    </row>
    <row r="176">
      <c r="B176" s="138"/>
    </row>
    <row r="177">
      <c r="B177" s="138"/>
    </row>
    <row r="178">
      <c r="B178" s="138"/>
    </row>
    <row r="179">
      <c r="B179" s="138"/>
    </row>
    <row r="180">
      <c r="B180" s="138"/>
    </row>
    <row r="181">
      <c r="B181" s="138"/>
    </row>
    <row r="182">
      <c r="B182" s="138"/>
    </row>
    <row r="183">
      <c r="B183" s="138"/>
    </row>
    <row r="184">
      <c r="B184" s="138"/>
    </row>
    <row r="185">
      <c r="B185" s="138"/>
    </row>
    <row r="186">
      <c r="B186" s="138"/>
    </row>
    <row r="187">
      <c r="B187" s="138"/>
    </row>
    <row r="188">
      <c r="B188" s="138"/>
    </row>
    <row r="189">
      <c r="B189" s="138"/>
    </row>
    <row r="190">
      <c r="B190" s="138"/>
    </row>
    <row r="191">
      <c r="B191" s="138"/>
    </row>
    <row r="192">
      <c r="B192" s="138"/>
    </row>
    <row r="193">
      <c r="B193" s="138"/>
    </row>
    <row r="194">
      <c r="B194" s="138"/>
    </row>
    <row r="195">
      <c r="B195" s="138"/>
    </row>
    <row r="196">
      <c r="B196" s="138"/>
    </row>
    <row r="197">
      <c r="B197" s="138"/>
    </row>
    <row r="198">
      <c r="B198" s="138"/>
    </row>
    <row r="199">
      <c r="B199" s="138"/>
    </row>
    <row r="200">
      <c r="B200" s="138"/>
    </row>
    <row r="201">
      <c r="B201" s="138"/>
    </row>
    <row r="202">
      <c r="B202" s="138"/>
    </row>
    <row r="203">
      <c r="B203" s="138"/>
    </row>
    <row r="204">
      <c r="B204" s="138"/>
    </row>
    <row r="205">
      <c r="B205" s="138"/>
    </row>
    <row r="206">
      <c r="B206" s="138"/>
    </row>
    <row r="207">
      <c r="B207" s="138"/>
    </row>
    <row r="208">
      <c r="B208" s="138"/>
    </row>
    <row r="209">
      <c r="B209" s="138"/>
    </row>
    <row r="210">
      <c r="B210" s="138"/>
    </row>
    <row r="211">
      <c r="B211" s="138"/>
    </row>
    <row r="212">
      <c r="B212" s="138"/>
    </row>
    <row r="213">
      <c r="B213" s="138"/>
    </row>
    <row r="214">
      <c r="B214" s="138"/>
    </row>
    <row r="215">
      <c r="B215" s="138"/>
    </row>
    <row r="216">
      <c r="B216" s="138"/>
    </row>
    <row r="217">
      <c r="B217" s="138"/>
    </row>
    <row r="218">
      <c r="B218" s="138"/>
    </row>
    <row r="219">
      <c r="B219" s="138"/>
    </row>
    <row r="220">
      <c r="B220" s="138"/>
    </row>
    <row r="221">
      <c r="B221" s="138"/>
    </row>
    <row r="222">
      <c r="B222" s="138"/>
    </row>
    <row r="223">
      <c r="B223" s="138"/>
    </row>
    <row r="224">
      <c r="B224" s="138"/>
    </row>
    <row r="225">
      <c r="B225" s="138"/>
    </row>
    <row r="226">
      <c r="B226" s="138"/>
    </row>
    <row r="227">
      <c r="B227" s="138"/>
    </row>
    <row r="228">
      <c r="B228" s="138"/>
    </row>
    <row r="229">
      <c r="B229" s="138"/>
    </row>
    <row r="230">
      <c r="B230" s="138"/>
    </row>
    <row r="231">
      <c r="B231" s="138"/>
    </row>
    <row r="232">
      <c r="B232" s="138"/>
    </row>
    <row r="233">
      <c r="B233" s="138"/>
    </row>
    <row r="234">
      <c r="B234" s="138"/>
    </row>
    <row r="235">
      <c r="B235" s="138"/>
    </row>
    <row r="236">
      <c r="B236" s="138"/>
    </row>
    <row r="237">
      <c r="B237" s="138"/>
    </row>
    <row r="238">
      <c r="B238" s="138"/>
    </row>
    <row r="239">
      <c r="B239" s="138"/>
    </row>
    <row r="240">
      <c r="B240" s="138"/>
    </row>
    <row r="241">
      <c r="B241" s="138"/>
    </row>
    <row r="242">
      <c r="B242" s="138"/>
    </row>
    <row r="243">
      <c r="B243" s="138"/>
    </row>
    <row r="244">
      <c r="B244" s="138"/>
    </row>
    <row r="245">
      <c r="B245" s="138"/>
    </row>
    <row r="246">
      <c r="B246" s="138"/>
    </row>
    <row r="247">
      <c r="B247" s="138"/>
    </row>
    <row r="248">
      <c r="B248" s="138"/>
    </row>
    <row r="249">
      <c r="B249" s="138"/>
    </row>
    <row r="250">
      <c r="B250" s="138"/>
    </row>
    <row r="251">
      <c r="B251" s="138"/>
    </row>
    <row r="252">
      <c r="B252" s="138"/>
    </row>
    <row r="253">
      <c r="B253" s="138"/>
    </row>
    <row r="254">
      <c r="B254" s="138"/>
    </row>
    <row r="255">
      <c r="B255" s="138"/>
    </row>
    <row r="256">
      <c r="B256" s="138"/>
    </row>
    <row r="257">
      <c r="B257" s="138"/>
    </row>
    <row r="258">
      <c r="B258" s="138"/>
    </row>
    <row r="259">
      <c r="B259" s="138"/>
    </row>
    <row r="260">
      <c r="B260" s="138"/>
    </row>
    <row r="261">
      <c r="B261" s="138"/>
    </row>
    <row r="262">
      <c r="B262" s="138"/>
    </row>
    <row r="263">
      <c r="B263" s="138"/>
    </row>
    <row r="264">
      <c r="B264" s="138"/>
    </row>
    <row r="265">
      <c r="B265" s="138"/>
    </row>
    <row r="266">
      <c r="B266" s="138"/>
    </row>
    <row r="267">
      <c r="B267" s="138"/>
    </row>
    <row r="268">
      <c r="B268" s="138"/>
    </row>
    <row r="269">
      <c r="B269" s="138"/>
    </row>
    <row r="270">
      <c r="B270" s="138"/>
    </row>
    <row r="271">
      <c r="B271" s="138"/>
    </row>
    <row r="272">
      <c r="B272" s="138"/>
    </row>
    <row r="273">
      <c r="B273" s="138"/>
    </row>
    <row r="274">
      <c r="B274" s="138"/>
    </row>
    <row r="275">
      <c r="B275" s="138"/>
    </row>
    <row r="276">
      <c r="B276" s="138"/>
    </row>
    <row r="277">
      <c r="B277" s="138"/>
    </row>
    <row r="278">
      <c r="B278" s="138"/>
    </row>
    <row r="279">
      <c r="B279" s="138"/>
    </row>
    <row r="280">
      <c r="B280" s="138"/>
    </row>
    <row r="281">
      <c r="B281" s="138"/>
    </row>
    <row r="282">
      <c r="B282" s="138"/>
    </row>
    <row r="283">
      <c r="B283" s="138"/>
    </row>
    <row r="284">
      <c r="B284" s="138"/>
    </row>
    <row r="285">
      <c r="B285" s="138"/>
    </row>
    <row r="286">
      <c r="B286" s="138"/>
    </row>
    <row r="287">
      <c r="B287" s="138"/>
    </row>
    <row r="288">
      <c r="B288" s="138"/>
    </row>
    <row r="289">
      <c r="B289" s="138"/>
    </row>
    <row r="290">
      <c r="B290" s="138"/>
    </row>
    <row r="291">
      <c r="B291" s="138"/>
    </row>
    <row r="292">
      <c r="B292" s="138"/>
    </row>
    <row r="293">
      <c r="B293" s="138"/>
    </row>
    <row r="294">
      <c r="B294" s="138"/>
    </row>
    <row r="295">
      <c r="B295" s="138"/>
    </row>
    <row r="296">
      <c r="B296" s="138"/>
    </row>
    <row r="297">
      <c r="B297" s="138"/>
    </row>
    <row r="298">
      <c r="B298" s="138"/>
    </row>
    <row r="299">
      <c r="B299" s="138"/>
    </row>
    <row r="300">
      <c r="B300" s="138"/>
    </row>
    <row r="301">
      <c r="B301" s="138"/>
    </row>
    <row r="302">
      <c r="B302" s="138"/>
    </row>
    <row r="303">
      <c r="B303" s="138"/>
    </row>
    <row r="304">
      <c r="B304" s="138"/>
    </row>
    <row r="305">
      <c r="B305" s="138"/>
    </row>
    <row r="306">
      <c r="B306" s="138"/>
    </row>
    <row r="307">
      <c r="B307" s="138"/>
    </row>
    <row r="308">
      <c r="B308" s="138"/>
    </row>
    <row r="309">
      <c r="B309" s="138"/>
    </row>
    <row r="310">
      <c r="B310" s="138"/>
    </row>
    <row r="311">
      <c r="B311" s="138"/>
    </row>
    <row r="312">
      <c r="B312" s="138"/>
    </row>
    <row r="313">
      <c r="B313" s="138"/>
    </row>
    <row r="314">
      <c r="B314" s="138"/>
    </row>
    <row r="315">
      <c r="B315" s="138"/>
    </row>
    <row r="316">
      <c r="B316" s="138"/>
    </row>
    <row r="317">
      <c r="B317" s="138"/>
    </row>
    <row r="318">
      <c r="B318" s="138"/>
    </row>
    <row r="319">
      <c r="B319" s="138"/>
    </row>
    <row r="320">
      <c r="B320" s="138"/>
    </row>
    <row r="321">
      <c r="B321" s="138"/>
    </row>
    <row r="322">
      <c r="B322" s="138"/>
    </row>
    <row r="323">
      <c r="B323" s="138"/>
    </row>
    <row r="324">
      <c r="B324" s="138"/>
    </row>
    <row r="325">
      <c r="B325" s="138"/>
    </row>
    <row r="326">
      <c r="B326" s="138"/>
    </row>
    <row r="327">
      <c r="B327" s="138"/>
    </row>
    <row r="328">
      <c r="B328" s="138"/>
    </row>
    <row r="329">
      <c r="B329" s="138"/>
    </row>
    <row r="330">
      <c r="B330" s="138"/>
    </row>
    <row r="331">
      <c r="B331" s="138"/>
    </row>
    <row r="332">
      <c r="B332" s="138"/>
    </row>
    <row r="333">
      <c r="B333" s="138"/>
    </row>
    <row r="334">
      <c r="B334" s="138"/>
    </row>
    <row r="335">
      <c r="B335" s="138"/>
    </row>
    <row r="336">
      <c r="B336" s="138"/>
    </row>
    <row r="337">
      <c r="B337" s="138"/>
    </row>
    <row r="338">
      <c r="B338" s="138"/>
    </row>
    <row r="339">
      <c r="B339" s="138"/>
    </row>
    <row r="340">
      <c r="B340" s="138"/>
    </row>
    <row r="341">
      <c r="B341" s="138"/>
    </row>
    <row r="342">
      <c r="B342" s="138"/>
    </row>
    <row r="343">
      <c r="B343" s="138"/>
    </row>
    <row r="344">
      <c r="B344" s="138"/>
    </row>
    <row r="345">
      <c r="B345" s="138"/>
    </row>
    <row r="346">
      <c r="B346" s="138"/>
    </row>
    <row r="347">
      <c r="B347" s="138"/>
    </row>
    <row r="348">
      <c r="B348" s="138"/>
    </row>
    <row r="349">
      <c r="B349" s="138"/>
    </row>
    <row r="350">
      <c r="B350" s="138"/>
    </row>
    <row r="351">
      <c r="B351" s="138"/>
    </row>
    <row r="352">
      <c r="B352" s="138"/>
    </row>
    <row r="353">
      <c r="B353" s="138"/>
    </row>
    <row r="354">
      <c r="B354" s="138"/>
    </row>
    <row r="355">
      <c r="B355" s="138"/>
    </row>
    <row r="356">
      <c r="B356" s="138"/>
    </row>
    <row r="357">
      <c r="B357" s="138"/>
    </row>
    <row r="358">
      <c r="B358" s="138"/>
    </row>
    <row r="359">
      <c r="B359" s="138"/>
    </row>
    <row r="360">
      <c r="B360" s="138"/>
    </row>
    <row r="361">
      <c r="B361" s="138"/>
    </row>
    <row r="362">
      <c r="B362" s="138"/>
    </row>
    <row r="363">
      <c r="B363" s="138"/>
    </row>
    <row r="364">
      <c r="B364" s="138"/>
    </row>
    <row r="365">
      <c r="B365" s="138"/>
    </row>
    <row r="366">
      <c r="B366" s="138"/>
    </row>
    <row r="367">
      <c r="B367" s="138"/>
    </row>
    <row r="368">
      <c r="B368" s="138"/>
    </row>
    <row r="369">
      <c r="B369" s="138"/>
    </row>
    <row r="370">
      <c r="B370" s="138"/>
    </row>
    <row r="371">
      <c r="B371" s="138"/>
    </row>
    <row r="372">
      <c r="B372" s="138"/>
    </row>
    <row r="373">
      <c r="B373" s="138"/>
    </row>
    <row r="374">
      <c r="B374" s="138"/>
    </row>
    <row r="375">
      <c r="B375" s="138"/>
    </row>
    <row r="376">
      <c r="B376" s="138"/>
    </row>
    <row r="377">
      <c r="B377" s="138"/>
    </row>
    <row r="378">
      <c r="B378" s="138"/>
    </row>
    <row r="379">
      <c r="B379" s="138"/>
    </row>
    <row r="380">
      <c r="B380" s="138"/>
    </row>
    <row r="381">
      <c r="B381" s="138"/>
    </row>
    <row r="382">
      <c r="B382" s="138"/>
    </row>
    <row r="383">
      <c r="B383" s="138"/>
    </row>
    <row r="384">
      <c r="B384" s="138"/>
    </row>
    <row r="385">
      <c r="B385" s="138"/>
    </row>
    <row r="386">
      <c r="B386" s="138"/>
    </row>
    <row r="387">
      <c r="B387" s="138"/>
    </row>
    <row r="388">
      <c r="B388" s="138"/>
    </row>
    <row r="389">
      <c r="B389" s="138"/>
    </row>
    <row r="390">
      <c r="B390" s="138"/>
    </row>
    <row r="391">
      <c r="B391" s="138"/>
    </row>
    <row r="392">
      <c r="B392" s="138"/>
    </row>
    <row r="393">
      <c r="B393" s="138"/>
    </row>
    <row r="394">
      <c r="B394" s="138"/>
    </row>
    <row r="395">
      <c r="B395" s="138"/>
    </row>
    <row r="396">
      <c r="B396" s="138"/>
    </row>
    <row r="397">
      <c r="B397" s="138"/>
    </row>
    <row r="398">
      <c r="B398" s="138"/>
    </row>
    <row r="399">
      <c r="B399" s="138"/>
    </row>
    <row r="400">
      <c r="B400" s="138"/>
    </row>
    <row r="401">
      <c r="B401" s="138"/>
    </row>
    <row r="402">
      <c r="B402" s="138"/>
    </row>
    <row r="403">
      <c r="B403" s="138"/>
    </row>
    <row r="404">
      <c r="B404" s="138"/>
    </row>
    <row r="405">
      <c r="B405" s="138"/>
    </row>
    <row r="406">
      <c r="B406" s="138"/>
    </row>
    <row r="407">
      <c r="B407" s="138"/>
    </row>
    <row r="408">
      <c r="B408" s="138"/>
    </row>
    <row r="409">
      <c r="B409" s="138"/>
    </row>
    <row r="410">
      <c r="B410" s="138"/>
    </row>
    <row r="411">
      <c r="B411" s="138"/>
    </row>
    <row r="412">
      <c r="B412" s="138"/>
    </row>
    <row r="413">
      <c r="B413" s="138"/>
    </row>
    <row r="414">
      <c r="B414" s="138"/>
    </row>
    <row r="415">
      <c r="B415" s="138"/>
    </row>
    <row r="416">
      <c r="B416" s="138"/>
    </row>
    <row r="417">
      <c r="B417" s="138"/>
    </row>
    <row r="418">
      <c r="B418" s="138"/>
    </row>
    <row r="419">
      <c r="B419" s="138"/>
    </row>
    <row r="420">
      <c r="B420" s="138"/>
    </row>
    <row r="421">
      <c r="B421" s="138"/>
    </row>
    <row r="422">
      <c r="B422" s="138"/>
    </row>
    <row r="423">
      <c r="B423" s="138"/>
    </row>
    <row r="424">
      <c r="B424" s="138"/>
    </row>
    <row r="425">
      <c r="B425" s="138"/>
    </row>
    <row r="426">
      <c r="B426" s="138"/>
    </row>
    <row r="427">
      <c r="B427" s="138"/>
    </row>
    <row r="428">
      <c r="B428" s="138"/>
    </row>
    <row r="429">
      <c r="B429" s="138"/>
    </row>
    <row r="430">
      <c r="B430" s="138"/>
    </row>
    <row r="431">
      <c r="B431" s="138"/>
    </row>
    <row r="432">
      <c r="B432" s="138"/>
    </row>
    <row r="433">
      <c r="B433" s="138"/>
    </row>
    <row r="434">
      <c r="B434" s="138"/>
    </row>
    <row r="435">
      <c r="B435" s="138"/>
    </row>
    <row r="436">
      <c r="B436" s="138"/>
    </row>
    <row r="437">
      <c r="B437" s="138"/>
    </row>
    <row r="438">
      <c r="B438" s="138"/>
    </row>
    <row r="439">
      <c r="B439" s="138"/>
    </row>
    <row r="440">
      <c r="B440" s="138"/>
    </row>
    <row r="441">
      <c r="B441" s="138"/>
    </row>
    <row r="442">
      <c r="B442" s="138"/>
    </row>
    <row r="443">
      <c r="B443" s="138"/>
    </row>
    <row r="444">
      <c r="B444" s="138"/>
    </row>
    <row r="445">
      <c r="B445" s="138"/>
    </row>
    <row r="446">
      <c r="B446" s="138"/>
    </row>
    <row r="447">
      <c r="B447" s="138"/>
    </row>
    <row r="448">
      <c r="B448" s="138"/>
    </row>
    <row r="449">
      <c r="B449" s="138"/>
    </row>
    <row r="450">
      <c r="B450" s="138"/>
    </row>
    <row r="451">
      <c r="B451" s="138"/>
    </row>
    <row r="452">
      <c r="B452" s="138"/>
    </row>
    <row r="453">
      <c r="B453" s="138"/>
    </row>
    <row r="454">
      <c r="B454" s="138"/>
    </row>
    <row r="455">
      <c r="B455" s="138"/>
    </row>
    <row r="456">
      <c r="B456" s="138"/>
    </row>
    <row r="457">
      <c r="B457" s="138"/>
    </row>
    <row r="458">
      <c r="B458" s="138"/>
    </row>
    <row r="459">
      <c r="B459" s="138"/>
    </row>
    <row r="460">
      <c r="B460" s="138"/>
    </row>
    <row r="461">
      <c r="B461" s="138"/>
    </row>
    <row r="462">
      <c r="B462" s="138"/>
    </row>
    <row r="463">
      <c r="B463" s="138"/>
    </row>
    <row r="464">
      <c r="B464" s="138"/>
    </row>
    <row r="465">
      <c r="B465" s="138"/>
    </row>
    <row r="466">
      <c r="B466" s="138"/>
    </row>
    <row r="467">
      <c r="B467" s="138"/>
    </row>
    <row r="468">
      <c r="B468" s="138"/>
    </row>
    <row r="469">
      <c r="B469" s="138"/>
    </row>
    <row r="470">
      <c r="B470" s="138"/>
    </row>
    <row r="471">
      <c r="B471" s="138"/>
    </row>
    <row r="472">
      <c r="B472" s="138"/>
    </row>
    <row r="473">
      <c r="B473" s="138"/>
    </row>
    <row r="474">
      <c r="B474" s="138"/>
    </row>
    <row r="475">
      <c r="B475" s="138"/>
    </row>
    <row r="476">
      <c r="B476" s="138"/>
    </row>
    <row r="477">
      <c r="B477" s="138"/>
    </row>
    <row r="478">
      <c r="B478" s="138"/>
    </row>
    <row r="479">
      <c r="B479" s="138"/>
    </row>
    <row r="480">
      <c r="B480" s="138"/>
    </row>
    <row r="481">
      <c r="B481" s="138"/>
    </row>
    <row r="482">
      <c r="B482" s="138"/>
    </row>
    <row r="483">
      <c r="B483" s="138"/>
    </row>
    <row r="484">
      <c r="B484" s="138"/>
    </row>
    <row r="485">
      <c r="B485" s="138"/>
    </row>
    <row r="486">
      <c r="B486" s="138"/>
    </row>
    <row r="487">
      <c r="B487" s="138"/>
    </row>
    <row r="488">
      <c r="B488" s="138"/>
    </row>
    <row r="489">
      <c r="B489" s="138"/>
    </row>
    <row r="490">
      <c r="B490" s="138"/>
    </row>
    <row r="491">
      <c r="B491" s="138"/>
    </row>
    <row r="492">
      <c r="B492" s="138"/>
    </row>
    <row r="493">
      <c r="B493" s="138"/>
    </row>
    <row r="494">
      <c r="B494" s="138"/>
    </row>
    <row r="495">
      <c r="B495" s="138"/>
    </row>
    <row r="496">
      <c r="B496" s="138"/>
    </row>
    <row r="497">
      <c r="B497" s="138"/>
    </row>
    <row r="498">
      <c r="B498" s="138"/>
    </row>
    <row r="499">
      <c r="B499" s="138"/>
    </row>
    <row r="500">
      <c r="B500" s="138"/>
    </row>
    <row r="501">
      <c r="B501" s="138"/>
    </row>
    <row r="502">
      <c r="B502" s="138"/>
    </row>
    <row r="503">
      <c r="B503" s="138"/>
    </row>
    <row r="504">
      <c r="B504" s="138"/>
    </row>
    <row r="505">
      <c r="B505" s="138"/>
    </row>
    <row r="506">
      <c r="B506" s="138"/>
    </row>
    <row r="507">
      <c r="B507" s="138"/>
    </row>
    <row r="508">
      <c r="B508" s="138"/>
    </row>
    <row r="509">
      <c r="B509" s="138"/>
    </row>
    <row r="510">
      <c r="B510" s="138"/>
    </row>
    <row r="511">
      <c r="B511" s="138"/>
    </row>
    <row r="512">
      <c r="B512" s="138"/>
    </row>
    <row r="513">
      <c r="B513" s="138"/>
    </row>
    <row r="514">
      <c r="B514" s="138"/>
    </row>
    <row r="515">
      <c r="B515" s="138"/>
    </row>
    <row r="516">
      <c r="B516" s="138"/>
    </row>
    <row r="517">
      <c r="B517" s="138"/>
    </row>
    <row r="518">
      <c r="B518" s="138"/>
    </row>
    <row r="519">
      <c r="B519" s="138"/>
    </row>
    <row r="520">
      <c r="B520" s="138"/>
    </row>
    <row r="521">
      <c r="B521" s="138"/>
    </row>
    <row r="522">
      <c r="B522" s="138"/>
    </row>
    <row r="523">
      <c r="B523" s="138"/>
    </row>
    <row r="524">
      <c r="B524" s="138"/>
    </row>
    <row r="525">
      <c r="B525" s="138"/>
    </row>
    <row r="526">
      <c r="B526" s="138"/>
    </row>
    <row r="527">
      <c r="B527" s="138"/>
    </row>
    <row r="528">
      <c r="B528" s="138"/>
    </row>
    <row r="529">
      <c r="B529" s="138"/>
    </row>
    <row r="530">
      <c r="B530" s="138"/>
    </row>
    <row r="531">
      <c r="B531" s="138"/>
    </row>
    <row r="532">
      <c r="B532" s="138"/>
    </row>
    <row r="533">
      <c r="B533" s="138"/>
    </row>
    <row r="534">
      <c r="B534" s="138"/>
    </row>
    <row r="535">
      <c r="B535" s="138"/>
    </row>
    <row r="536">
      <c r="B536" s="138"/>
    </row>
    <row r="537">
      <c r="B537" s="138"/>
    </row>
    <row r="538">
      <c r="B538" s="138"/>
    </row>
    <row r="539">
      <c r="B539" s="138"/>
    </row>
    <row r="540">
      <c r="B540" s="138"/>
    </row>
    <row r="541">
      <c r="B541" s="138"/>
    </row>
    <row r="542">
      <c r="B542" s="138"/>
    </row>
    <row r="543">
      <c r="B543" s="138"/>
    </row>
    <row r="544">
      <c r="B544" s="138"/>
    </row>
    <row r="545">
      <c r="B545" s="138"/>
    </row>
    <row r="546">
      <c r="B546" s="138"/>
    </row>
    <row r="547">
      <c r="B547" s="138"/>
    </row>
    <row r="548">
      <c r="B548" s="138"/>
    </row>
    <row r="549">
      <c r="B549" s="138"/>
    </row>
    <row r="550">
      <c r="B550" s="138"/>
    </row>
    <row r="551">
      <c r="B551" s="138"/>
    </row>
    <row r="552">
      <c r="B552" s="138"/>
    </row>
    <row r="553">
      <c r="B553" s="138"/>
    </row>
    <row r="554">
      <c r="B554" s="138"/>
    </row>
    <row r="555">
      <c r="B555" s="138"/>
    </row>
    <row r="556">
      <c r="B556" s="138"/>
    </row>
    <row r="557">
      <c r="B557" s="138"/>
    </row>
    <row r="558">
      <c r="B558" s="138"/>
    </row>
    <row r="559">
      <c r="B559" s="138"/>
    </row>
    <row r="560">
      <c r="B560" s="138"/>
    </row>
    <row r="561">
      <c r="B561" s="138"/>
    </row>
    <row r="562">
      <c r="B562" s="138"/>
    </row>
    <row r="563">
      <c r="B563" s="138"/>
    </row>
    <row r="564">
      <c r="B564" s="138"/>
    </row>
    <row r="565">
      <c r="B565" s="138"/>
    </row>
    <row r="566">
      <c r="B566" s="138"/>
    </row>
    <row r="567">
      <c r="B567" s="138"/>
    </row>
    <row r="568">
      <c r="B568" s="138"/>
    </row>
    <row r="569">
      <c r="B569" s="138"/>
    </row>
    <row r="570">
      <c r="B570" s="138"/>
    </row>
    <row r="571">
      <c r="B571" s="138"/>
    </row>
    <row r="572">
      <c r="B572" s="138"/>
    </row>
    <row r="573">
      <c r="B573" s="138"/>
    </row>
    <row r="574">
      <c r="B574" s="138"/>
    </row>
    <row r="575">
      <c r="B575" s="138"/>
    </row>
    <row r="576">
      <c r="B576" s="138"/>
    </row>
    <row r="577">
      <c r="B577" s="138"/>
    </row>
    <row r="578">
      <c r="B578" s="138"/>
    </row>
    <row r="579">
      <c r="B579" s="138"/>
    </row>
    <row r="580">
      <c r="B580" s="138"/>
    </row>
    <row r="581">
      <c r="B581" s="138"/>
    </row>
    <row r="582">
      <c r="B582" s="138"/>
    </row>
    <row r="583">
      <c r="B583" s="138"/>
    </row>
    <row r="584">
      <c r="B584" s="138"/>
    </row>
    <row r="585">
      <c r="B585" s="138"/>
    </row>
    <row r="586">
      <c r="B586" s="138"/>
    </row>
    <row r="587">
      <c r="B587" s="138"/>
    </row>
    <row r="588">
      <c r="B588" s="138"/>
    </row>
    <row r="589">
      <c r="B589" s="138"/>
    </row>
    <row r="590">
      <c r="B590" s="138"/>
    </row>
    <row r="591">
      <c r="B591" s="138"/>
    </row>
    <row r="592">
      <c r="B592" s="138"/>
    </row>
    <row r="593">
      <c r="B593" s="138"/>
    </row>
    <row r="594">
      <c r="B594" s="138"/>
    </row>
    <row r="595">
      <c r="B595" s="138"/>
    </row>
    <row r="596">
      <c r="B596" s="138"/>
    </row>
    <row r="597">
      <c r="B597" s="138"/>
    </row>
    <row r="598">
      <c r="B598" s="138"/>
    </row>
    <row r="599">
      <c r="B599" s="138"/>
    </row>
    <row r="600">
      <c r="B600" s="138"/>
    </row>
    <row r="601">
      <c r="B601" s="138"/>
    </row>
    <row r="602">
      <c r="B602" s="138"/>
    </row>
    <row r="603">
      <c r="B603" s="138"/>
    </row>
    <row r="604">
      <c r="B604" s="138"/>
    </row>
    <row r="605">
      <c r="B605" s="138"/>
    </row>
    <row r="606">
      <c r="B606" s="138"/>
    </row>
    <row r="607">
      <c r="B607" s="138"/>
    </row>
    <row r="608">
      <c r="B608" s="138"/>
    </row>
    <row r="609">
      <c r="B609" s="138"/>
    </row>
    <row r="610">
      <c r="B610" s="138"/>
    </row>
    <row r="611">
      <c r="B611" s="138"/>
    </row>
    <row r="612">
      <c r="B612" s="138"/>
    </row>
    <row r="613">
      <c r="B613" s="138"/>
    </row>
    <row r="614">
      <c r="B614" s="138"/>
    </row>
    <row r="615">
      <c r="B615" s="138"/>
    </row>
    <row r="616">
      <c r="B616" s="138"/>
    </row>
    <row r="617">
      <c r="B617" s="138"/>
    </row>
    <row r="618">
      <c r="B618" s="138"/>
    </row>
    <row r="619">
      <c r="B619" s="138"/>
    </row>
    <row r="620">
      <c r="B620" s="138"/>
    </row>
    <row r="621">
      <c r="B621" s="138"/>
    </row>
    <row r="622">
      <c r="B622" s="138"/>
    </row>
    <row r="623">
      <c r="B623" s="138"/>
    </row>
    <row r="624">
      <c r="B624" s="138"/>
    </row>
    <row r="625">
      <c r="B625" s="138"/>
    </row>
    <row r="626">
      <c r="B626" s="138"/>
    </row>
    <row r="627">
      <c r="B627" s="138"/>
    </row>
    <row r="628">
      <c r="B628" s="138"/>
    </row>
    <row r="629">
      <c r="B629" s="138"/>
    </row>
    <row r="630">
      <c r="B630" s="138"/>
    </row>
    <row r="631">
      <c r="B631" s="138"/>
    </row>
    <row r="632">
      <c r="B632" s="138"/>
    </row>
    <row r="633">
      <c r="B633" s="138"/>
    </row>
    <row r="634">
      <c r="B634" s="138"/>
    </row>
    <row r="635">
      <c r="B635" s="138"/>
    </row>
    <row r="636">
      <c r="B636" s="138"/>
    </row>
    <row r="637">
      <c r="B637" s="138"/>
    </row>
    <row r="638">
      <c r="B638" s="138"/>
    </row>
    <row r="639">
      <c r="B639" s="138"/>
    </row>
    <row r="640">
      <c r="B640" s="138"/>
    </row>
    <row r="641">
      <c r="B641" s="138"/>
    </row>
    <row r="642">
      <c r="B642" s="138"/>
    </row>
    <row r="643">
      <c r="B643" s="138"/>
    </row>
    <row r="644">
      <c r="B644" s="138"/>
    </row>
    <row r="645">
      <c r="B645" s="138"/>
    </row>
    <row r="646">
      <c r="B646" s="138"/>
    </row>
    <row r="647">
      <c r="B647" s="138"/>
    </row>
    <row r="648">
      <c r="B648" s="138"/>
    </row>
    <row r="649">
      <c r="B649" s="138"/>
    </row>
    <row r="650">
      <c r="B650" s="138"/>
    </row>
    <row r="651">
      <c r="B651" s="138"/>
    </row>
    <row r="652">
      <c r="B652" s="138"/>
    </row>
    <row r="653">
      <c r="B653" s="138"/>
    </row>
    <row r="654">
      <c r="B654" s="138"/>
    </row>
    <row r="655">
      <c r="B655" s="138"/>
    </row>
    <row r="656">
      <c r="B656" s="138"/>
    </row>
    <row r="657">
      <c r="B657" s="138"/>
    </row>
    <row r="658">
      <c r="B658" s="138"/>
    </row>
    <row r="659">
      <c r="B659" s="138"/>
    </row>
    <row r="660">
      <c r="B660" s="138"/>
    </row>
    <row r="661">
      <c r="B661" s="138"/>
    </row>
    <row r="662">
      <c r="B662" s="138"/>
    </row>
    <row r="663">
      <c r="B663" s="138"/>
    </row>
    <row r="664">
      <c r="B664" s="138"/>
    </row>
    <row r="665">
      <c r="B665" s="138"/>
    </row>
    <row r="666">
      <c r="B666" s="138"/>
    </row>
    <row r="667">
      <c r="B667" s="138"/>
    </row>
    <row r="668">
      <c r="B668" s="138"/>
    </row>
    <row r="669">
      <c r="B669" s="138"/>
    </row>
    <row r="670">
      <c r="B670" s="138"/>
    </row>
    <row r="671">
      <c r="B671" s="138"/>
    </row>
    <row r="672">
      <c r="B672" s="138"/>
    </row>
    <row r="673">
      <c r="B673" s="138"/>
    </row>
    <row r="674">
      <c r="B674" s="138"/>
    </row>
    <row r="675">
      <c r="B675" s="138"/>
    </row>
    <row r="676">
      <c r="B676" s="138"/>
    </row>
    <row r="677">
      <c r="B677" s="138"/>
    </row>
    <row r="678">
      <c r="B678" s="138"/>
    </row>
    <row r="679">
      <c r="B679" s="138"/>
    </row>
    <row r="680">
      <c r="B680" s="138"/>
    </row>
    <row r="681">
      <c r="B681" s="138"/>
    </row>
    <row r="682">
      <c r="B682" s="138"/>
    </row>
    <row r="683">
      <c r="B683" s="138"/>
    </row>
    <row r="684">
      <c r="B684" s="138"/>
    </row>
    <row r="685">
      <c r="B685" s="138"/>
    </row>
    <row r="686">
      <c r="B686" s="138"/>
    </row>
    <row r="687">
      <c r="B687" s="138"/>
    </row>
    <row r="688">
      <c r="B688" s="138"/>
    </row>
    <row r="689">
      <c r="B689" s="138"/>
    </row>
    <row r="690">
      <c r="B690" s="138"/>
    </row>
    <row r="691">
      <c r="B691" s="138"/>
    </row>
    <row r="692">
      <c r="B692" s="138"/>
    </row>
    <row r="693">
      <c r="B693" s="138"/>
    </row>
    <row r="694">
      <c r="B694" s="138"/>
    </row>
    <row r="695">
      <c r="B695" s="138"/>
    </row>
    <row r="696">
      <c r="B696" s="138"/>
    </row>
    <row r="697">
      <c r="B697" s="138"/>
    </row>
    <row r="698">
      <c r="B698" s="138"/>
    </row>
    <row r="699">
      <c r="B699" s="138"/>
    </row>
    <row r="700">
      <c r="B700" s="138"/>
    </row>
    <row r="701">
      <c r="B701" s="138"/>
    </row>
    <row r="702">
      <c r="B702" s="138"/>
    </row>
    <row r="703">
      <c r="B703" s="138"/>
    </row>
    <row r="704">
      <c r="B704" s="138"/>
    </row>
    <row r="705">
      <c r="B705" s="138"/>
    </row>
    <row r="706">
      <c r="B706" s="138"/>
    </row>
    <row r="707">
      <c r="B707" s="138"/>
    </row>
    <row r="708">
      <c r="B708" s="138"/>
    </row>
    <row r="709">
      <c r="B709" s="138"/>
    </row>
    <row r="710">
      <c r="B710" s="138"/>
    </row>
    <row r="711">
      <c r="B711" s="138"/>
    </row>
    <row r="712">
      <c r="B712" s="138"/>
    </row>
    <row r="713">
      <c r="B713" s="138"/>
    </row>
    <row r="714">
      <c r="B714" s="138"/>
    </row>
    <row r="715">
      <c r="B715" s="138"/>
    </row>
    <row r="716">
      <c r="B716" s="138"/>
    </row>
    <row r="717">
      <c r="B717" s="138"/>
    </row>
    <row r="718">
      <c r="B718" s="138"/>
    </row>
    <row r="719">
      <c r="B719" s="138"/>
    </row>
    <row r="720">
      <c r="B720" s="138"/>
    </row>
    <row r="721">
      <c r="B721" s="138"/>
    </row>
    <row r="722">
      <c r="B722" s="138"/>
    </row>
    <row r="723">
      <c r="B723" s="138"/>
    </row>
    <row r="724">
      <c r="B724" s="138"/>
    </row>
    <row r="725">
      <c r="B725" s="138"/>
    </row>
    <row r="726">
      <c r="B726" s="138"/>
    </row>
    <row r="727">
      <c r="B727" s="138"/>
    </row>
    <row r="728">
      <c r="B728" s="138"/>
    </row>
    <row r="729">
      <c r="B729" s="138"/>
    </row>
    <row r="730">
      <c r="B730" s="138"/>
    </row>
    <row r="731">
      <c r="B731" s="138"/>
    </row>
    <row r="732">
      <c r="B732" s="138"/>
    </row>
    <row r="733">
      <c r="B733" s="138"/>
    </row>
    <row r="734">
      <c r="B734" s="138"/>
    </row>
    <row r="735">
      <c r="B735" s="138"/>
    </row>
    <row r="736">
      <c r="B736" s="138"/>
    </row>
    <row r="737">
      <c r="B737" s="138"/>
    </row>
    <row r="738">
      <c r="B738" s="138"/>
    </row>
    <row r="739">
      <c r="B739" s="138"/>
    </row>
    <row r="740">
      <c r="B740" s="138"/>
    </row>
    <row r="741">
      <c r="B741" s="138"/>
    </row>
    <row r="742">
      <c r="B742" s="138"/>
    </row>
    <row r="743">
      <c r="B743" s="138"/>
    </row>
    <row r="744">
      <c r="B744" s="138"/>
    </row>
    <row r="745">
      <c r="B745" s="138"/>
    </row>
    <row r="746">
      <c r="B746" s="138"/>
    </row>
    <row r="747">
      <c r="B747" s="138"/>
    </row>
    <row r="748">
      <c r="B748" s="138"/>
    </row>
    <row r="749">
      <c r="B749" s="138"/>
    </row>
    <row r="750">
      <c r="B750" s="138"/>
    </row>
    <row r="751">
      <c r="B751" s="138"/>
    </row>
    <row r="752">
      <c r="B752" s="138"/>
    </row>
    <row r="753">
      <c r="B753" s="138"/>
    </row>
    <row r="754">
      <c r="B754" s="138"/>
    </row>
    <row r="755">
      <c r="B755" s="138"/>
    </row>
    <row r="756">
      <c r="B756" s="138"/>
    </row>
    <row r="757">
      <c r="B757" s="138"/>
    </row>
    <row r="758">
      <c r="B758" s="138"/>
    </row>
    <row r="759">
      <c r="B759" s="138"/>
    </row>
    <row r="760">
      <c r="B760" s="138"/>
    </row>
    <row r="761">
      <c r="B761" s="138"/>
    </row>
    <row r="762">
      <c r="B762" s="138"/>
    </row>
    <row r="763">
      <c r="B763" s="138"/>
    </row>
    <row r="764">
      <c r="B764" s="138"/>
    </row>
    <row r="765">
      <c r="B765" s="138"/>
    </row>
    <row r="766">
      <c r="B766" s="138"/>
    </row>
    <row r="767">
      <c r="B767" s="138"/>
    </row>
    <row r="768">
      <c r="B768" s="138"/>
    </row>
    <row r="769">
      <c r="B769" s="138"/>
    </row>
    <row r="770">
      <c r="B770" s="138"/>
    </row>
    <row r="771">
      <c r="B771" s="138"/>
    </row>
    <row r="772">
      <c r="B772" s="138"/>
    </row>
    <row r="773">
      <c r="B773" s="138"/>
    </row>
    <row r="774">
      <c r="B774" s="138"/>
    </row>
    <row r="775">
      <c r="B775" s="138"/>
    </row>
    <row r="776">
      <c r="B776" s="138"/>
    </row>
    <row r="777">
      <c r="B777" s="138"/>
    </row>
    <row r="778">
      <c r="B778" s="138"/>
    </row>
    <row r="779">
      <c r="B779" s="138"/>
    </row>
    <row r="780">
      <c r="B780" s="138"/>
    </row>
    <row r="781">
      <c r="B781" s="138"/>
    </row>
    <row r="782">
      <c r="B782" s="138"/>
    </row>
    <row r="783">
      <c r="B783" s="138"/>
    </row>
    <row r="784">
      <c r="B784" s="138"/>
    </row>
    <row r="785">
      <c r="B785" s="138"/>
    </row>
    <row r="786">
      <c r="B786" s="138"/>
    </row>
    <row r="787">
      <c r="B787" s="138"/>
    </row>
    <row r="788">
      <c r="B788" s="138"/>
    </row>
    <row r="789">
      <c r="B789" s="138"/>
    </row>
    <row r="790">
      <c r="B790" s="138"/>
    </row>
    <row r="791">
      <c r="B791" s="138"/>
    </row>
    <row r="792">
      <c r="B792" s="138"/>
    </row>
    <row r="793">
      <c r="B793" s="138"/>
    </row>
    <row r="794">
      <c r="B794" s="138"/>
    </row>
    <row r="795">
      <c r="B795" s="138"/>
    </row>
    <row r="796">
      <c r="B796" s="138"/>
    </row>
    <row r="797">
      <c r="B797" s="138"/>
    </row>
    <row r="798">
      <c r="B798" s="138"/>
    </row>
    <row r="799">
      <c r="B799" s="138"/>
    </row>
    <row r="800">
      <c r="B800" s="138"/>
    </row>
    <row r="801">
      <c r="B801" s="138"/>
    </row>
    <row r="802">
      <c r="B802" s="138"/>
    </row>
    <row r="803">
      <c r="B803" s="138"/>
    </row>
    <row r="804">
      <c r="B804" s="138"/>
    </row>
    <row r="805">
      <c r="B805" s="138"/>
    </row>
    <row r="806">
      <c r="B806" s="138"/>
    </row>
    <row r="807">
      <c r="B807" s="138"/>
    </row>
    <row r="808">
      <c r="B808" s="138"/>
    </row>
    <row r="809">
      <c r="B809" s="138"/>
    </row>
    <row r="810">
      <c r="B810" s="138"/>
    </row>
    <row r="811">
      <c r="B811" s="138"/>
    </row>
    <row r="812">
      <c r="B812" s="138"/>
    </row>
    <row r="813">
      <c r="B813" s="138"/>
    </row>
    <row r="814">
      <c r="B814" s="138"/>
    </row>
    <row r="815">
      <c r="B815" s="138"/>
    </row>
    <row r="816">
      <c r="B816" s="138"/>
    </row>
    <row r="817">
      <c r="B817" s="138"/>
    </row>
    <row r="818">
      <c r="B818" s="138"/>
    </row>
    <row r="819">
      <c r="B819" s="138"/>
    </row>
    <row r="820">
      <c r="B820" s="138"/>
    </row>
    <row r="821">
      <c r="B821" s="138"/>
    </row>
    <row r="822">
      <c r="B822" s="138"/>
    </row>
    <row r="823">
      <c r="B823" s="138"/>
    </row>
    <row r="824">
      <c r="B824" s="138"/>
    </row>
    <row r="825">
      <c r="B825" s="138"/>
    </row>
    <row r="826">
      <c r="B826" s="138"/>
    </row>
    <row r="827">
      <c r="B827" s="138"/>
    </row>
    <row r="828">
      <c r="B828" s="138"/>
    </row>
    <row r="829">
      <c r="B829" s="138"/>
    </row>
    <row r="830">
      <c r="B830" s="138"/>
    </row>
    <row r="831">
      <c r="B831" s="138"/>
    </row>
    <row r="832">
      <c r="B832" s="138"/>
    </row>
    <row r="833">
      <c r="B833" s="138"/>
    </row>
    <row r="834">
      <c r="B834" s="138"/>
    </row>
    <row r="835">
      <c r="B835" s="138"/>
    </row>
    <row r="836">
      <c r="B836" s="138"/>
    </row>
    <row r="837">
      <c r="B837" s="138"/>
    </row>
    <row r="838">
      <c r="B838" s="138"/>
    </row>
    <row r="839">
      <c r="B839" s="138"/>
    </row>
    <row r="840">
      <c r="B840" s="138"/>
    </row>
    <row r="841">
      <c r="B841" s="138"/>
    </row>
    <row r="842">
      <c r="B842" s="138"/>
    </row>
    <row r="843">
      <c r="B843" s="138"/>
    </row>
    <row r="844">
      <c r="B844" s="138"/>
    </row>
    <row r="845">
      <c r="B845" s="138"/>
    </row>
    <row r="846">
      <c r="B846" s="138"/>
    </row>
    <row r="847">
      <c r="B847" s="138"/>
    </row>
    <row r="848">
      <c r="B848" s="138"/>
    </row>
    <row r="849">
      <c r="B849" s="138"/>
    </row>
    <row r="850">
      <c r="B850" s="138"/>
    </row>
    <row r="851">
      <c r="B851" s="138"/>
    </row>
    <row r="852">
      <c r="B852" s="138"/>
    </row>
    <row r="853">
      <c r="B853" s="138"/>
    </row>
    <row r="854">
      <c r="B854" s="138"/>
    </row>
    <row r="855">
      <c r="B855" s="138"/>
    </row>
    <row r="856">
      <c r="B856" s="138"/>
    </row>
    <row r="857">
      <c r="B857" s="138"/>
    </row>
    <row r="858">
      <c r="B858" s="138"/>
    </row>
    <row r="859">
      <c r="B859" s="138"/>
    </row>
    <row r="860">
      <c r="B860" s="138"/>
    </row>
    <row r="861">
      <c r="B861" s="138"/>
    </row>
    <row r="862">
      <c r="B862" s="138"/>
    </row>
    <row r="863">
      <c r="B863" s="138"/>
    </row>
    <row r="864">
      <c r="B864" s="138"/>
    </row>
    <row r="865">
      <c r="B865" s="138"/>
    </row>
    <row r="866">
      <c r="B866" s="138"/>
    </row>
    <row r="867">
      <c r="B867" s="138"/>
    </row>
    <row r="868">
      <c r="B868" s="138"/>
    </row>
    <row r="869">
      <c r="B869" s="138"/>
    </row>
    <row r="870">
      <c r="B870" s="138"/>
    </row>
    <row r="871">
      <c r="B871" s="138"/>
    </row>
    <row r="872">
      <c r="B872" s="138"/>
    </row>
    <row r="873">
      <c r="B873" s="138"/>
    </row>
    <row r="874">
      <c r="B874" s="138"/>
    </row>
    <row r="875">
      <c r="B875" s="138"/>
    </row>
    <row r="876">
      <c r="B876" s="138"/>
    </row>
    <row r="877">
      <c r="B877" s="138"/>
    </row>
    <row r="878">
      <c r="B878" s="138"/>
    </row>
    <row r="879">
      <c r="B879" s="138"/>
    </row>
    <row r="880">
      <c r="B880" s="138"/>
    </row>
    <row r="881">
      <c r="B881" s="138"/>
    </row>
    <row r="882">
      <c r="B882" s="138"/>
    </row>
    <row r="883">
      <c r="B883" s="138"/>
    </row>
    <row r="884">
      <c r="B884" s="138"/>
    </row>
    <row r="885">
      <c r="B885" s="138"/>
    </row>
    <row r="886">
      <c r="B886" s="138"/>
    </row>
    <row r="887">
      <c r="B887" s="138"/>
    </row>
    <row r="888">
      <c r="B888" s="138"/>
    </row>
    <row r="889">
      <c r="B889" s="138"/>
    </row>
    <row r="890">
      <c r="B890" s="138"/>
    </row>
    <row r="891">
      <c r="B891" s="138"/>
    </row>
    <row r="892">
      <c r="B892" s="138"/>
    </row>
    <row r="893">
      <c r="B893" s="138"/>
    </row>
    <row r="894">
      <c r="B894" s="138"/>
    </row>
    <row r="895">
      <c r="B895" s="138"/>
    </row>
    <row r="896">
      <c r="B896" s="138"/>
    </row>
    <row r="897">
      <c r="B897" s="138"/>
    </row>
    <row r="898">
      <c r="B898" s="138"/>
    </row>
    <row r="899">
      <c r="B899" s="138"/>
    </row>
    <row r="900">
      <c r="B900" s="138"/>
    </row>
    <row r="901">
      <c r="B901" s="138"/>
    </row>
    <row r="902">
      <c r="B902" s="138"/>
    </row>
    <row r="903">
      <c r="B903" s="138"/>
    </row>
    <row r="904">
      <c r="B904" s="138"/>
    </row>
    <row r="905">
      <c r="B905" s="138"/>
    </row>
    <row r="906">
      <c r="B906" s="138"/>
    </row>
    <row r="907">
      <c r="B907" s="138"/>
    </row>
    <row r="908">
      <c r="B908" s="138"/>
    </row>
    <row r="909">
      <c r="B909" s="138"/>
    </row>
    <row r="910">
      <c r="B910" s="138"/>
    </row>
    <row r="911">
      <c r="B911" s="138"/>
    </row>
    <row r="912">
      <c r="B912" s="138"/>
    </row>
    <row r="913">
      <c r="B913" s="138"/>
    </row>
    <row r="914">
      <c r="B914" s="138"/>
    </row>
    <row r="915">
      <c r="B915" s="138"/>
    </row>
    <row r="916">
      <c r="B916" s="138"/>
    </row>
    <row r="917">
      <c r="B917" s="138"/>
    </row>
    <row r="918">
      <c r="B918" s="138"/>
    </row>
    <row r="919">
      <c r="B919" s="138"/>
    </row>
    <row r="920">
      <c r="B920" s="138"/>
    </row>
    <row r="921">
      <c r="B921" s="138"/>
    </row>
    <row r="922">
      <c r="B922" s="138"/>
    </row>
    <row r="923">
      <c r="B923" s="138"/>
    </row>
    <row r="924">
      <c r="B924" s="138"/>
    </row>
    <row r="925">
      <c r="B925" s="138"/>
    </row>
    <row r="926">
      <c r="B926" s="138"/>
    </row>
    <row r="927">
      <c r="B927" s="138"/>
    </row>
    <row r="928">
      <c r="B928" s="138"/>
    </row>
    <row r="929">
      <c r="B929" s="138"/>
    </row>
    <row r="930">
      <c r="B930" s="138"/>
    </row>
    <row r="931">
      <c r="B931" s="138"/>
    </row>
    <row r="932">
      <c r="B932" s="138"/>
    </row>
    <row r="933">
      <c r="B933" s="138"/>
    </row>
    <row r="934">
      <c r="B934" s="138"/>
    </row>
    <row r="935">
      <c r="B935" s="138"/>
    </row>
    <row r="936">
      <c r="B936" s="138"/>
    </row>
    <row r="937">
      <c r="B937" s="138"/>
    </row>
    <row r="938">
      <c r="B938" s="138"/>
    </row>
    <row r="939">
      <c r="B939" s="138"/>
    </row>
    <row r="940">
      <c r="B940" s="138"/>
    </row>
    <row r="941">
      <c r="B941" s="138"/>
    </row>
    <row r="942">
      <c r="B942" s="138"/>
    </row>
    <row r="943">
      <c r="B943" s="138"/>
    </row>
    <row r="944">
      <c r="B944" s="138"/>
    </row>
    <row r="945">
      <c r="B945" s="138"/>
    </row>
    <row r="946">
      <c r="B946" s="138"/>
    </row>
    <row r="947">
      <c r="B947" s="138"/>
    </row>
    <row r="948">
      <c r="B948" s="138"/>
    </row>
    <row r="949">
      <c r="B949" s="138"/>
    </row>
    <row r="950">
      <c r="B950" s="138"/>
    </row>
    <row r="951">
      <c r="B951" s="138"/>
    </row>
    <row r="952">
      <c r="B952" s="138"/>
    </row>
    <row r="953">
      <c r="B953" s="138"/>
    </row>
    <row r="954">
      <c r="B954" s="138"/>
    </row>
    <row r="955">
      <c r="B955" s="138"/>
    </row>
    <row r="956">
      <c r="B956" s="138"/>
    </row>
    <row r="957">
      <c r="B957" s="138"/>
    </row>
    <row r="958">
      <c r="B958" s="138"/>
    </row>
    <row r="959">
      <c r="B959" s="138"/>
    </row>
    <row r="960">
      <c r="B960" s="138"/>
    </row>
    <row r="961">
      <c r="B961" s="138"/>
    </row>
    <row r="962">
      <c r="B962" s="138"/>
    </row>
  </sheetData>
  <mergeCells count="16">
    <mergeCell ref="H3:I3"/>
    <mergeCell ref="J3:K3"/>
    <mergeCell ref="L3:M3"/>
    <mergeCell ref="N3:O3"/>
    <mergeCell ref="P3:Q3"/>
    <mergeCell ref="R3:T3"/>
    <mergeCell ref="U3:V3"/>
    <mergeCell ref="W3:Y3"/>
    <mergeCell ref="B2:G2"/>
    <mergeCell ref="H2:M2"/>
    <mergeCell ref="N2:T2"/>
    <mergeCell ref="U2:AA2"/>
    <mergeCell ref="B3:C3"/>
    <mergeCell ref="D3:E3"/>
    <mergeCell ref="F3:G3"/>
    <mergeCell ref="Z3:AA3"/>
  </mergeCells>
  <dataValidations>
    <dataValidation type="list" allowBlank="1" showErrorMessage="1" sqref="B25:AA25 B34:AA34">
      <formula1>"0%,100%"</formula1>
    </dataValidation>
  </dataValidation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9.75"/>
    <col customWidth="1" min="2" max="2" width="19.38"/>
    <col customWidth="1" min="3" max="3" width="20.75"/>
    <col customWidth="1" min="4" max="4" width="20.13"/>
    <col customWidth="1" min="5" max="5" width="21.25"/>
    <col customWidth="1" min="6" max="6" width="21.0"/>
    <col customWidth="1" min="7" max="7" width="21.63"/>
    <col customWidth="1" min="8" max="8" width="20.5"/>
    <col customWidth="1" min="9" max="9" width="19.63"/>
    <col customWidth="1" min="10" max="10" width="18.88"/>
    <col customWidth="1" min="11" max="11" width="19.13"/>
    <col customWidth="1" min="12" max="12" width="20.63"/>
    <col customWidth="1" min="13" max="13" width="19.13"/>
    <col customWidth="1" min="14" max="14" width="20.75"/>
    <col customWidth="1" min="15" max="15" width="21.25"/>
    <col customWidth="1" min="16" max="16" width="19.38"/>
    <col customWidth="1" min="17" max="17" width="23.75"/>
    <col customWidth="1" min="18" max="18" width="26.0"/>
    <col customWidth="1" min="19" max="19" width="30.63"/>
    <col customWidth="1" min="20" max="20" width="22.75"/>
    <col customWidth="1" min="21" max="21" width="22.38"/>
    <col customWidth="1" min="22" max="22" width="24.38"/>
    <col customWidth="1" min="28" max="28" width="13.5"/>
  </cols>
  <sheetData>
    <row r="1" ht="30.0" customHeight="1">
      <c r="A1" s="1" t="s">
        <v>911</v>
      </c>
      <c r="B1" s="2"/>
      <c r="C1" s="3"/>
      <c r="D1" s="3"/>
      <c r="E1" s="3"/>
      <c r="F1" s="3"/>
      <c r="G1" s="3"/>
      <c r="H1" s="3"/>
      <c r="I1" s="3"/>
      <c r="J1" s="3"/>
      <c r="K1" s="3"/>
      <c r="L1" s="3"/>
      <c r="M1" s="3"/>
      <c r="N1" s="3"/>
      <c r="O1" s="3"/>
      <c r="P1" s="3"/>
      <c r="Q1" s="3"/>
      <c r="R1" s="4"/>
      <c r="S1" s="4"/>
      <c r="T1" s="4"/>
      <c r="U1" s="4"/>
      <c r="V1" s="4"/>
      <c r="W1" s="4"/>
      <c r="X1" s="4"/>
      <c r="Y1" s="4"/>
      <c r="Z1" s="4"/>
      <c r="AA1" s="4"/>
      <c r="AB1" s="4"/>
      <c r="AC1" s="4"/>
      <c r="AD1" s="4"/>
      <c r="AE1" s="4"/>
      <c r="AF1" s="4"/>
      <c r="AG1" s="4"/>
      <c r="AH1" s="4"/>
      <c r="AI1" s="4"/>
      <c r="AJ1" s="4"/>
      <c r="AK1" s="4"/>
      <c r="AL1" s="4"/>
      <c r="AM1" s="4"/>
      <c r="AN1" s="4"/>
    </row>
    <row r="2">
      <c r="A2" s="6" t="s">
        <v>1</v>
      </c>
      <c r="B2" s="7" t="s">
        <v>2</v>
      </c>
      <c r="C2" s="8"/>
      <c r="D2" s="8"/>
      <c r="E2" s="8"/>
      <c r="F2" s="8"/>
      <c r="G2" s="8"/>
      <c r="H2" s="9"/>
      <c r="I2" s="573" t="s">
        <v>3</v>
      </c>
      <c r="J2" s="574"/>
      <c r="K2" s="574"/>
      <c r="L2" s="574"/>
      <c r="M2" s="574"/>
      <c r="N2" s="575"/>
      <c r="O2" s="576" t="s">
        <v>4</v>
      </c>
      <c r="P2" s="574"/>
      <c r="Q2" s="574"/>
      <c r="R2" s="574"/>
      <c r="S2" s="574"/>
      <c r="T2" s="575"/>
      <c r="U2" s="467" t="s">
        <v>5</v>
      </c>
      <c r="V2" s="8"/>
      <c r="W2" s="8"/>
      <c r="X2" s="8"/>
      <c r="Y2" s="8"/>
      <c r="Z2" s="8"/>
      <c r="AA2" s="9"/>
      <c r="AB2" s="12"/>
      <c r="AC2" s="12"/>
      <c r="AD2" s="12"/>
      <c r="AE2" s="12"/>
      <c r="AF2" s="12"/>
      <c r="AG2" s="12"/>
      <c r="AH2" s="12"/>
      <c r="AI2" s="12"/>
      <c r="AJ2" s="12"/>
      <c r="AK2" s="12"/>
      <c r="AL2" s="12"/>
      <c r="AM2" s="12"/>
      <c r="AN2" s="12"/>
    </row>
    <row r="3">
      <c r="A3" s="6" t="s">
        <v>6</v>
      </c>
      <c r="B3" s="13" t="s">
        <v>7</v>
      </c>
      <c r="C3" s="14"/>
      <c r="D3" s="15" t="s">
        <v>8</v>
      </c>
      <c r="E3" s="9"/>
      <c r="F3" s="10" t="s">
        <v>9</v>
      </c>
      <c r="G3" s="8"/>
      <c r="H3" s="9"/>
      <c r="I3" s="577" t="s">
        <v>10</v>
      </c>
      <c r="J3" s="578"/>
      <c r="K3" s="579" t="s">
        <v>11</v>
      </c>
      <c r="L3" s="580"/>
      <c r="M3" s="581" t="s">
        <v>12</v>
      </c>
      <c r="N3" s="582"/>
      <c r="O3" s="581" t="s">
        <v>912</v>
      </c>
      <c r="P3" s="578"/>
      <c r="Q3" s="577" t="s">
        <v>14</v>
      </c>
      <c r="R3" s="582"/>
      <c r="S3" s="573" t="s">
        <v>15</v>
      </c>
      <c r="T3" s="575"/>
      <c r="U3" s="16" t="s">
        <v>16</v>
      </c>
      <c r="V3" s="9"/>
      <c r="W3" s="10" t="s">
        <v>17</v>
      </c>
      <c r="X3" s="8"/>
      <c r="Y3" s="9"/>
      <c r="Z3" s="16" t="s">
        <v>18</v>
      </c>
      <c r="AA3" s="9"/>
      <c r="AB3" s="12"/>
      <c r="AC3" s="12"/>
      <c r="AD3" s="12"/>
      <c r="AE3" s="12"/>
      <c r="AF3" s="12"/>
      <c r="AG3" s="12"/>
      <c r="AH3" s="12"/>
      <c r="AI3" s="12"/>
      <c r="AJ3" s="12"/>
      <c r="AK3" s="12"/>
      <c r="AL3" s="12"/>
      <c r="AM3" s="12"/>
      <c r="AN3" s="12"/>
    </row>
    <row r="4">
      <c r="A4" s="6" t="s">
        <v>19</v>
      </c>
      <c r="B4" s="21" t="s">
        <v>913</v>
      </c>
      <c r="C4" s="583" t="s">
        <v>914</v>
      </c>
      <c r="D4" s="583" t="s">
        <v>915</v>
      </c>
      <c r="E4" s="583" t="s">
        <v>916</v>
      </c>
      <c r="F4" s="583" t="s">
        <v>917</v>
      </c>
      <c r="G4" s="583" t="s">
        <v>918</v>
      </c>
      <c r="H4" s="583" t="s">
        <v>919</v>
      </c>
      <c r="I4" s="19" t="s">
        <v>920</v>
      </c>
      <c r="J4" s="19" t="s">
        <v>921</v>
      </c>
      <c r="K4" s="19" t="s">
        <v>922</v>
      </c>
      <c r="L4" s="19" t="s">
        <v>923</v>
      </c>
      <c r="M4" s="19" t="s">
        <v>924</v>
      </c>
      <c r="N4" s="19" t="s">
        <v>925</v>
      </c>
      <c r="O4" s="19" t="s">
        <v>926</v>
      </c>
      <c r="P4" s="19" t="s">
        <v>927</v>
      </c>
      <c r="Q4" s="19" t="s">
        <v>928</v>
      </c>
      <c r="R4" s="19" t="s">
        <v>929</v>
      </c>
      <c r="S4" s="516" t="s">
        <v>930</v>
      </c>
      <c r="T4" s="516" t="s">
        <v>931</v>
      </c>
      <c r="U4" s="19" t="s">
        <v>932</v>
      </c>
      <c r="V4" s="19" t="s">
        <v>933</v>
      </c>
      <c r="W4" s="19"/>
      <c r="X4" s="19"/>
      <c r="Y4" s="19"/>
      <c r="Z4" s="19"/>
      <c r="AA4" s="21"/>
      <c r="AB4" s="12"/>
      <c r="AC4" s="12"/>
      <c r="AD4" s="12"/>
      <c r="AE4" s="12"/>
      <c r="AF4" s="12"/>
      <c r="AG4" s="12"/>
      <c r="AH4" s="12"/>
      <c r="AI4" s="12"/>
      <c r="AJ4" s="12"/>
      <c r="AK4" s="12"/>
      <c r="AL4" s="12"/>
      <c r="AM4" s="12"/>
      <c r="AN4" s="12"/>
    </row>
    <row r="5">
      <c r="A5" s="22" t="s">
        <v>20</v>
      </c>
      <c r="B5" s="584" t="s">
        <v>934</v>
      </c>
      <c r="C5" s="584" t="s">
        <v>935</v>
      </c>
      <c r="D5" s="584" t="s">
        <v>936</v>
      </c>
      <c r="E5" s="584" t="s">
        <v>937</v>
      </c>
      <c r="F5" s="584" t="s">
        <v>938</v>
      </c>
      <c r="G5" s="584" t="s">
        <v>939</v>
      </c>
      <c r="H5" s="584" t="s">
        <v>940</v>
      </c>
      <c r="I5" s="584" t="s">
        <v>941</v>
      </c>
      <c r="J5" s="584" t="s">
        <v>942</v>
      </c>
      <c r="K5" s="584" t="s">
        <v>943</v>
      </c>
      <c r="L5" s="584" t="s">
        <v>944</v>
      </c>
      <c r="M5" s="584" t="s">
        <v>945</v>
      </c>
      <c r="N5" s="24" t="s">
        <v>946</v>
      </c>
      <c r="O5" s="24" t="s">
        <v>947</v>
      </c>
      <c r="P5" s="25" t="s">
        <v>948</v>
      </c>
      <c r="Q5" s="25" t="s">
        <v>949</v>
      </c>
      <c r="R5" s="25" t="s">
        <v>950</v>
      </c>
      <c r="S5" s="25" t="s">
        <v>951</v>
      </c>
      <c r="T5" s="25" t="s">
        <v>952</v>
      </c>
      <c r="U5" s="25" t="s">
        <v>953</v>
      </c>
      <c r="V5" s="25" t="s">
        <v>954</v>
      </c>
      <c r="W5" s="24"/>
      <c r="X5" s="24"/>
      <c r="Y5" s="24"/>
      <c r="Z5" s="25"/>
      <c r="AA5" s="25"/>
      <c r="AB5" s="27"/>
      <c r="AC5" s="28"/>
      <c r="AD5" s="28"/>
      <c r="AE5" s="28"/>
      <c r="AF5" s="28"/>
      <c r="AG5" s="28"/>
      <c r="AH5" s="28"/>
      <c r="AI5" s="28"/>
      <c r="AJ5" s="28"/>
      <c r="AK5" s="28"/>
      <c r="AL5" s="28"/>
      <c r="AM5" s="28"/>
      <c r="AN5" s="28"/>
    </row>
    <row r="6">
      <c r="A6" s="29"/>
      <c r="B6" s="30"/>
    </row>
    <row r="7">
      <c r="A7" s="32" t="s">
        <v>21</v>
      </c>
      <c r="B7" s="33">
        <v>198.0</v>
      </c>
      <c r="C7" s="34">
        <v>232.0</v>
      </c>
      <c r="D7" s="34">
        <v>276.0</v>
      </c>
      <c r="E7" s="34">
        <v>286.0</v>
      </c>
      <c r="F7" s="34">
        <v>307.0</v>
      </c>
      <c r="G7" s="34">
        <v>284.0</v>
      </c>
      <c r="H7" s="34">
        <v>249.0</v>
      </c>
      <c r="I7" s="34">
        <v>108.0</v>
      </c>
      <c r="J7" s="34">
        <v>230.0</v>
      </c>
      <c r="K7" s="34">
        <v>308.0</v>
      </c>
      <c r="L7" s="34">
        <v>296.0</v>
      </c>
      <c r="M7" s="34">
        <v>231.0</v>
      </c>
      <c r="N7" s="34">
        <v>247.0</v>
      </c>
      <c r="O7" s="34">
        <v>162.0</v>
      </c>
      <c r="P7" s="34">
        <v>188.0</v>
      </c>
      <c r="Q7" s="34">
        <v>160.0</v>
      </c>
      <c r="R7" s="34">
        <v>196.0</v>
      </c>
      <c r="S7" s="34">
        <v>150.0</v>
      </c>
      <c r="T7" s="34">
        <v>95.0</v>
      </c>
      <c r="U7" s="34">
        <v>93.0</v>
      </c>
      <c r="V7" s="34"/>
      <c r="W7" s="34"/>
      <c r="X7" s="34"/>
      <c r="Y7" s="34"/>
      <c r="Z7" s="34"/>
      <c r="AA7" s="34"/>
    </row>
    <row r="8">
      <c r="A8" s="37" t="s">
        <v>22</v>
      </c>
      <c r="B8" s="38">
        <v>180.0</v>
      </c>
      <c r="C8" s="39">
        <v>228.0</v>
      </c>
      <c r="D8" s="39">
        <v>213.0</v>
      </c>
      <c r="E8" s="39">
        <v>250.0</v>
      </c>
      <c r="F8" s="39">
        <v>235.0</v>
      </c>
      <c r="G8" s="39">
        <v>246.0</v>
      </c>
      <c r="H8" s="39">
        <v>217.0</v>
      </c>
      <c r="I8" s="39">
        <v>103.0</v>
      </c>
      <c r="J8" s="39">
        <v>221.0</v>
      </c>
      <c r="K8" s="39">
        <v>267.0</v>
      </c>
      <c r="L8" s="39">
        <v>270.0</v>
      </c>
      <c r="M8" s="39">
        <v>218.0</v>
      </c>
      <c r="N8" s="39">
        <v>224.0</v>
      </c>
      <c r="O8" s="39">
        <v>152.0</v>
      </c>
      <c r="P8" s="39">
        <v>173.0</v>
      </c>
      <c r="Q8" s="39">
        <v>149.0</v>
      </c>
      <c r="R8" s="39">
        <v>175.0</v>
      </c>
      <c r="S8" s="39">
        <v>125.0</v>
      </c>
      <c r="T8" s="585">
        <v>95.0</v>
      </c>
      <c r="U8" s="39">
        <v>90.0</v>
      </c>
      <c r="V8" s="39"/>
      <c r="W8" s="39"/>
      <c r="X8" s="39"/>
      <c r="Y8" s="39"/>
      <c r="Z8" s="39"/>
      <c r="AA8" s="39"/>
    </row>
    <row r="9">
      <c r="A9" s="37" t="s">
        <v>23</v>
      </c>
      <c r="B9" s="38">
        <v>18.0</v>
      </c>
      <c r="C9" s="39">
        <v>32.0</v>
      </c>
      <c r="D9" s="39">
        <v>26.0</v>
      </c>
      <c r="E9" s="39">
        <v>36.0</v>
      </c>
      <c r="F9" s="39">
        <v>72.0</v>
      </c>
      <c r="G9" s="39">
        <v>35.0</v>
      </c>
      <c r="H9" s="39">
        <f>H7-H8</f>
        <v>32</v>
      </c>
      <c r="I9" s="39">
        <v>5.0</v>
      </c>
      <c r="J9" s="39">
        <v>9.0</v>
      </c>
      <c r="K9" s="39">
        <v>41.0</v>
      </c>
      <c r="L9" s="39">
        <f>L7-L8</f>
        <v>26</v>
      </c>
      <c r="M9" s="39">
        <v>13.0</v>
      </c>
      <c r="N9" s="39">
        <v>23.0</v>
      </c>
      <c r="O9" s="39">
        <v>10.0</v>
      </c>
      <c r="P9" s="39">
        <v>15.0</v>
      </c>
      <c r="Q9" s="39">
        <v>11.0</v>
      </c>
      <c r="R9" s="39">
        <v>21.0</v>
      </c>
      <c r="S9" s="39">
        <v>25.0</v>
      </c>
      <c r="T9" s="39">
        <v>0.0</v>
      </c>
      <c r="U9" s="39">
        <v>3.0</v>
      </c>
      <c r="V9" s="41"/>
      <c r="W9" s="41"/>
      <c r="X9" s="41"/>
      <c r="Y9" s="41"/>
      <c r="Z9" s="41"/>
      <c r="AA9" s="41"/>
    </row>
    <row r="10">
      <c r="A10" s="42" t="s">
        <v>24</v>
      </c>
      <c r="B10" s="43">
        <v>0.1</v>
      </c>
      <c r="C10" s="43">
        <v>0.1</v>
      </c>
      <c r="D10" s="43">
        <v>0.1</v>
      </c>
      <c r="E10" s="586">
        <v>0.1259</v>
      </c>
      <c r="F10" s="524">
        <v>23.45</v>
      </c>
      <c r="G10" s="43">
        <v>0.123</v>
      </c>
      <c r="H10" s="587">
        <v>0.1606</v>
      </c>
      <c r="I10" s="586">
        <v>0.0556</v>
      </c>
      <c r="J10" s="43">
        <v>0.0264</v>
      </c>
      <c r="K10" s="43">
        <v>0.1331</v>
      </c>
      <c r="L10" s="586">
        <v>0.0878</v>
      </c>
      <c r="M10" s="586">
        <v>0.0563</v>
      </c>
      <c r="N10" s="524">
        <v>9.31</v>
      </c>
      <c r="O10" s="586">
        <v>0.0617</v>
      </c>
      <c r="P10" s="43">
        <v>0.0798</v>
      </c>
      <c r="Q10" s="43">
        <v>0.0688</v>
      </c>
      <c r="R10" s="43">
        <v>0.1071</v>
      </c>
      <c r="S10" s="43">
        <v>0.1667</v>
      </c>
      <c r="T10" s="43">
        <v>0.0</v>
      </c>
      <c r="U10" s="43">
        <v>0.0323</v>
      </c>
      <c r="V10" s="45"/>
      <c r="W10" s="45"/>
      <c r="X10" s="45"/>
      <c r="Y10" s="45"/>
      <c r="Z10" s="45"/>
      <c r="AA10" s="45"/>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row>
    <row r="12">
      <c r="A12" s="48" t="s">
        <v>25</v>
      </c>
      <c r="B12" s="49">
        <v>40.0</v>
      </c>
      <c r="C12" s="50">
        <v>38.0</v>
      </c>
      <c r="D12" s="50">
        <v>51.0</v>
      </c>
      <c r="E12" s="50">
        <v>33.0</v>
      </c>
      <c r="F12" s="50">
        <v>31.0</v>
      </c>
      <c r="G12" s="50">
        <v>47.0</v>
      </c>
      <c r="H12" s="50">
        <v>27.0</v>
      </c>
      <c r="I12" s="50">
        <v>19.0</v>
      </c>
      <c r="J12" s="50">
        <v>45.0</v>
      </c>
      <c r="K12" s="50">
        <v>53.0</v>
      </c>
      <c r="L12" s="50">
        <v>26.0</v>
      </c>
      <c r="M12" s="50">
        <v>54.0</v>
      </c>
      <c r="N12" s="50">
        <v>38.0</v>
      </c>
      <c r="O12" s="50">
        <v>36.0</v>
      </c>
      <c r="P12" s="50">
        <v>12.0</v>
      </c>
      <c r="Q12" s="50">
        <v>25.0</v>
      </c>
      <c r="R12" s="50">
        <v>12.0</v>
      </c>
      <c r="S12" s="50">
        <v>33.0</v>
      </c>
      <c r="T12" s="50">
        <v>10.0</v>
      </c>
      <c r="U12" s="50">
        <v>11.0</v>
      </c>
      <c r="V12" s="50"/>
      <c r="W12" s="50"/>
      <c r="X12" s="50"/>
      <c r="Y12" s="50"/>
      <c r="Z12" s="50"/>
      <c r="AA12" s="50"/>
    </row>
    <row r="13">
      <c r="A13" s="53" t="s">
        <v>26</v>
      </c>
      <c r="B13" s="54">
        <v>39.0</v>
      </c>
      <c r="C13" s="55">
        <v>41.0</v>
      </c>
      <c r="D13" s="55">
        <v>46.0</v>
      </c>
      <c r="E13" s="55">
        <v>18.0</v>
      </c>
      <c r="F13" s="55">
        <v>21.0</v>
      </c>
      <c r="G13" s="55">
        <v>49.0</v>
      </c>
      <c r="H13" s="55">
        <v>25.0</v>
      </c>
      <c r="I13" s="55">
        <v>21.0</v>
      </c>
      <c r="J13" s="55">
        <v>39.0</v>
      </c>
      <c r="K13" s="55">
        <v>37.0</v>
      </c>
      <c r="L13" s="55">
        <v>13.0</v>
      </c>
      <c r="M13" s="55">
        <v>51.0</v>
      </c>
      <c r="N13" s="55">
        <v>23.0</v>
      </c>
      <c r="O13" s="55">
        <v>29.0</v>
      </c>
      <c r="P13" s="55">
        <v>8.0</v>
      </c>
      <c r="Q13" s="55">
        <v>23.0</v>
      </c>
      <c r="R13" s="55">
        <v>9.0</v>
      </c>
      <c r="S13" s="55">
        <v>27.0</v>
      </c>
      <c r="T13" s="55">
        <v>10.0</v>
      </c>
      <c r="U13" s="55">
        <v>11.0</v>
      </c>
      <c r="V13" s="55"/>
      <c r="W13" s="55"/>
      <c r="X13" s="55"/>
      <c r="Y13" s="55"/>
      <c r="Z13" s="55"/>
      <c r="AA13" s="55"/>
    </row>
    <row r="14">
      <c r="A14" s="58" t="s">
        <v>27</v>
      </c>
      <c r="B14" s="59">
        <v>6.0</v>
      </c>
      <c r="C14" s="60">
        <v>6.0</v>
      </c>
      <c r="D14" s="60">
        <v>5.0</v>
      </c>
      <c r="E14" s="60">
        <v>15.0</v>
      </c>
      <c r="F14" s="60">
        <v>10.0</v>
      </c>
      <c r="G14" s="60">
        <v>6.0</v>
      </c>
      <c r="H14" s="60">
        <v>15.0</v>
      </c>
      <c r="I14" s="60">
        <v>1.0</v>
      </c>
      <c r="J14" s="60">
        <v>6.0</v>
      </c>
      <c r="K14" s="60">
        <v>16.0</v>
      </c>
      <c r="L14" s="60">
        <v>14.0</v>
      </c>
      <c r="M14" s="60">
        <v>3.0</v>
      </c>
      <c r="N14" s="60">
        <v>15.0</v>
      </c>
      <c r="O14" s="60">
        <v>7.0</v>
      </c>
      <c r="P14" s="60">
        <v>4.0</v>
      </c>
      <c r="Q14" s="60">
        <v>10.0</v>
      </c>
      <c r="R14" s="60">
        <v>3.0</v>
      </c>
      <c r="S14" s="60">
        <v>6.0</v>
      </c>
      <c r="T14" s="60">
        <v>0.0</v>
      </c>
      <c r="U14" s="60">
        <v>0.0</v>
      </c>
      <c r="V14" s="60"/>
      <c r="W14" s="60"/>
      <c r="X14" s="60"/>
      <c r="Y14" s="60"/>
      <c r="Z14" s="60"/>
      <c r="AA14" s="60"/>
    </row>
    <row r="15">
      <c r="A15" s="56"/>
      <c r="B15" s="63"/>
      <c r="C15" s="56"/>
      <c r="D15" s="56"/>
      <c r="E15" s="56"/>
      <c r="F15" s="56"/>
      <c r="G15" s="56"/>
      <c r="H15" s="56"/>
      <c r="I15" s="56"/>
      <c r="J15" s="56"/>
      <c r="K15" s="56"/>
      <c r="L15" s="56"/>
      <c r="M15" s="56"/>
      <c r="N15" s="56"/>
      <c r="O15" s="56"/>
      <c r="P15" s="56"/>
      <c r="Q15" s="56"/>
      <c r="R15" s="56"/>
      <c r="S15" s="56"/>
      <c r="T15" s="55"/>
      <c r="U15" s="56"/>
      <c r="V15" s="56"/>
      <c r="W15" s="56"/>
      <c r="X15" s="56"/>
      <c r="Y15" s="56"/>
      <c r="Z15" s="56"/>
      <c r="AA15" s="56"/>
    </row>
    <row r="16">
      <c r="A16" s="65" t="s">
        <v>28</v>
      </c>
      <c r="B16" s="66"/>
      <c r="C16" s="65"/>
      <c r="D16" s="65"/>
      <c r="E16" s="65"/>
      <c r="F16" s="65"/>
      <c r="G16" s="65"/>
      <c r="H16" s="65"/>
      <c r="I16" s="65"/>
      <c r="J16" s="65"/>
      <c r="K16" s="65"/>
      <c r="L16" s="65"/>
      <c r="M16" s="65"/>
      <c r="N16" s="65"/>
      <c r="O16" s="65"/>
      <c r="P16" s="65"/>
      <c r="Q16" s="65"/>
      <c r="R16" s="65"/>
      <c r="S16" s="65"/>
      <c r="T16" s="65"/>
      <c r="U16" s="588"/>
      <c r="V16" s="65"/>
      <c r="W16" s="65"/>
      <c r="X16" s="65"/>
      <c r="Y16" s="65"/>
      <c r="Z16" s="65"/>
      <c r="AA16" s="65"/>
    </row>
    <row r="17">
      <c r="A17" s="65" t="s">
        <v>29</v>
      </c>
      <c r="B17" s="66"/>
      <c r="C17" s="65"/>
      <c r="D17" s="65"/>
      <c r="E17" s="65"/>
      <c r="F17" s="65"/>
      <c r="G17" s="65"/>
      <c r="H17" s="65"/>
      <c r="I17" s="65"/>
      <c r="J17" s="65"/>
      <c r="K17" s="65"/>
      <c r="L17" s="65"/>
      <c r="M17" s="65"/>
      <c r="N17" s="65"/>
      <c r="O17" s="65"/>
      <c r="P17" s="65"/>
      <c r="Q17" s="65"/>
      <c r="R17" s="65"/>
      <c r="S17" s="65"/>
      <c r="T17" s="65"/>
      <c r="U17" s="588"/>
      <c r="V17" s="65"/>
      <c r="W17" s="65"/>
      <c r="X17" s="65"/>
      <c r="Y17" s="65"/>
      <c r="Z17" s="65"/>
      <c r="AA17" s="65"/>
    </row>
    <row r="18">
      <c r="A18" s="69" t="s">
        <v>30</v>
      </c>
      <c r="B18" s="70">
        <v>130.0</v>
      </c>
      <c r="C18" s="69">
        <v>186.0</v>
      </c>
      <c r="D18" s="69">
        <v>193.0</v>
      </c>
      <c r="E18" s="69">
        <v>198.0</v>
      </c>
      <c r="F18" s="69">
        <v>121.0</v>
      </c>
      <c r="G18" s="69">
        <v>163.0</v>
      </c>
      <c r="H18" s="69">
        <v>111.0</v>
      </c>
      <c r="I18" s="69">
        <v>50.0</v>
      </c>
      <c r="J18" s="69">
        <v>143.0</v>
      </c>
      <c r="K18" s="69">
        <v>170.0</v>
      </c>
      <c r="L18" s="69">
        <v>152.0</v>
      </c>
      <c r="M18" s="69">
        <v>163.0</v>
      </c>
      <c r="N18" s="69">
        <v>195.0</v>
      </c>
      <c r="O18" s="69">
        <v>161.0</v>
      </c>
      <c r="P18" s="69">
        <v>168.0</v>
      </c>
      <c r="Q18" s="69">
        <v>121.0</v>
      </c>
      <c r="R18" s="69">
        <v>142.0</v>
      </c>
      <c r="S18" s="69">
        <v>74.0</v>
      </c>
      <c r="T18" s="589">
        <v>61.0</v>
      </c>
      <c r="U18" s="69">
        <v>53.0</v>
      </c>
      <c r="V18" s="69"/>
      <c r="W18" s="69"/>
      <c r="X18" s="69"/>
      <c r="Y18" s="69"/>
      <c r="Z18" s="69"/>
      <c r="AA18" s="72"/>
      <c r="AB18" s="73"/>
      <c r="AC18" s="73"/>
      <c r="AD18" s="73"/>
      <c r="AE18" s="73"/>
      <c r="AF18" s="73"/>
      <c r="AG18" s="73"/>
      <c r="AH18" s="73"/>
      <c r="AI18" s="73"/>
      <c r="AJ18" s="73"/>
      <c r="AK18" s="73"/>
      <c r="AL18" s="73"/>
      <c r="AM18" s="73"/>
      <c r="AN18" s="73"/>
    </row>
    <row r="19">
      <c r="A19" s="74" t="s">
        <v>31</v>
      </c>
      <c r="B19" s="75">
        <v>146.0</v>
      </c>
      <c r="C19" s="74">
        <v>186.0</v>
      </c>
      <c r="D19" s="74">
        <v>230.0</v>
      </c>
      <c r="E19" s="74">
        <v>218.0</v>
      </c>
      <c r="F19" s="74">
        <v>223.0</v>
      </c>
      <c r="G19" s="74">
        <v>202.0</v>
      </c>
      <c r="H19" s="74">
        <v>184.0</v>
      </c>
      <c r="I19" s="74">
        <v>93.0</v>
      </c>
      <c r="J19" s="74">
        <v>174.0</v>
      </c>
      <c r="K19" s="74">
        <v>178.0</v>
      </c>
      <c r="L19" s="74">
        <v>262.0</v>
      </c>
      <c r="M19" s="74">
        <v>184.0</v>
      </c>
      <c r="N19" s="74">
        <v>226.0</v>
      </c>
      <c r="O19" s="74">
        <v>161.0</v>
      </c>
      <c r="P19" s="74">
        <v>178.0</v>
      </c>
      <c r="Q19" s="74">
        <v>147.0</v>
      </c>
      <c r="R19" s="69">
        <v>152.0</v>
      </c>
      <c r="S19" s="74">
        <v>113.0</v>
      </c>
      <c r="T19" s="590">
        <v>69.0</v>
      </c>
      <c r="U19" s="74">
        <v>53.0</v>
      </c>
      <c r="V19" s="74"/>
      <c r="W19" s="74"/>
      <c r="X19" s="74"/>
      <c r="Y19" s="74"/>
      <c r="Z19" s="74"/>
      <c r="AA19" s="77"/>
      <c r="AB19" s="78"/>
      <c r="AC19" s="78"/>
      <c r="AD19" s="78"/>
      <c r="AE19" s="78"/>
      <c r="AF19" s="78"/>
      <c r="AG19" s="78"/>
      <c r="AH19" s="78"/>
      <c r="AI19" s="78"/>
      <c r="AJ19" s="78"/>
      <c r="AK19" s="78"/>
      <c r="AL19" s="78"/>
      <c r="AM19" s="78"/>
      <c r="AN19" s="78"/>
    </row>
    <row r="20">
      <c r="A20" s="69" t="s">
        <v>32</v>
      </c>
      <c r="B20" s="70">
        <f>37</f>
        <v>37</v>
      </c>
      <c r="C20" s="69">
        <v>81.0</v>
      </c>
      <c r="D20" s="69">
        <v>124.0</v>
      </c>
      <c r="E20" s="69">
        <v>101.0</v>
      </c>
      <c r="F20" s="69">
        <v>85.0</v>
      </c>
      <c r="G20" s="69">
        <v>58.0</v>
      </c>
      <c r="H20" s="69">
        <v>77.0</v>
      </c>
      <c r="I20" s="69">
        <v>14.0</v>
      </c>
      <c r="J20" s="69">
        <v>93.0</v>
      </c>
      <c r="K20" s="69">
        <f>76+21</f>
        <v>97</v>
      </c>
      <c r="L20" s="69">
        <v>89.0</v>
      </c>
      <c r="M20" s="69">
        <v>33.0</v>
      </c>
      <c r="N20" s="69">
        <v>94.0</v>
      </c>
      <c r="O20" s="69">
        <v>73.0</v>
      </c>
      <c r="P20" s="69">
        <v>42.0</v>
      </c>
      <c r="Q20" s="69">
        <v>30.0</v>
      </c>
      <c r="R20" s="69">
        <v>100.0</v>
      </c>
      <c r="S20" s="69">
        <v>51.0</v>
      </c>
      <c r="T20" s="589">
        <v>30.0</v>
      </c>
      <c r="U20" s="69">
        <v>8.0</v>
      </c>
      <c r="V20" s="69"/>
      <c r="W20" s="69"/>
      <c r="X20" s="69"/>
      <c r="Y20" s="69"/>
      <c r="Z20" s="69"/>
      <c r="AA20" s="72"/>
      <c r="AB20" s="73"/>
      <c r="AC20" s="73"/>
      <c r="AD20" s="73"/>
      <c r="AE20" s="73"/>
      <c r="AF20" s="73"/>
      <c r="AG20" s="73"/>
      <c r="AH20" s="73"/>
      <c r="AI20" s="73"/>
      <c r="AJ20" s="73"/>
      <c r="AK20" s="73"/>
      <c r="AL20" s="73"/>
      <c r="AM20" s="73"/>
      <c r="AN20" s="73"/>
    </row>
    <row r="21">
      <c r="A21" s="79" t="s">
        <v>33</v>
      </c>
      <c r="B21" s="80">
        <f>B7-B19</f>
        <v>52</v>
      </c>
      <c r="C21" s="80">
        <v>69.0</v>
      </c>
      <c r="D21" s="80">
        <v>46.0</v>
      </c>
      <c r="E21" s="80">
        <f>E7-E19</f>
        <v>68</v>
      </c>
      <c r="F21" s="79">
        <v>89.0</v>
      </c>
      <c r="G21" s="79">
        <v>77.0</v>
      </c>
      <c r="H21" s="80">
        <f t="shared" ref="H21:U21" si="1">H7-H19</f>
        <v>65</v>
      </c>
      <c r="I21" s="80">
        <f t="shared" si="1"/>
        <v>15</v>
      </c>
      <c r="J21" s="80">
        <f t="shared" si="1"/>
        <v>56</v>
      </c>
      <c r="K21" s="80">
        <f t="shared" si="1"/>
        <v>130</v>
      </c>
      <c r="L21" s="80">
        <f t="shared" si="1"/>
        <v>34</v>
      </c>
      <c r="M21" s="80">
        <f t="shared" si="1"/>
        <v>47</v>
      </c>
      <c r="N21" s="80">
        <f t="shared" si="1"/>
        <v>21</v>
      </c>
      <c r="O21" s="80">
        <f t="shared" si="1"/>
        <v>1</v>
      </c>
      <c r="P21" s="80">
        <f t="shared" si="1"/>
        <v>10</v>
      </c>
      <c r="Q21" s="80">
        <f t="shared" si="1"/>
        <v>13</v>
      </c>
      <c r="R21" s="80">
        <f t="shared" si="1"/>
        <v>44</v>
      </c>
      <c r="S21" s="80">
        <f t="shared" si="1"/>
        <v>37</v>
      </c>
      <c r="T21" s="276">
        <f t="shared" si="1"/>
        <v>26</v>
      </c>
      <c r="U21" s="276">
        <f t="shared" si="1"/>
        <v>40</v>
      </c>
      <c r="V21" s="79"/>
      <c r="W21" s="79"/>
      <c r="X21" s="79"/>
      <c r="Y21" s="79"/>
      <c r="Z21" s="79"/>
      <c r="AA21" s="79"/>
    </row>
    <row r="22">
      <c r="A22" s="82" t="s">
        <v>34</v>
      </c>
      <c r="B22" s="83">
        <v>159.0</v>
      </c>
      <c r="C22" s="83">
        <v>212.0</v>
      </c>
      <c r="D22" s="85">
        <v>213.0</v>
      </c>
      <c r="E22" s="85">
        <v>209.0</v>
      </c>
      <c r="F22" s="85">
        <v>135.0</v>
      </c>
      <c r="G22" s="85">
        <v>197.0</v>
      </c>
      <c r="H22" s="85">
        <v>136.0</v>
      </c>
      <c r="I22" s="85">
        <v>60.0</v>
      </c>
      <c r="J22" s="85">
        <v>177.0</v>
      </c>
      <c r="K22" s="85">
        <v>225.0</v>
      </c>
      <c r="L22" s="85">
        <v>160.0</v>
      </c>
      <c r="M22" s="85">
        <v>171.0</v>
      </c>
      <c r="N22" s="85">
        <v>193.0</v>
      </c>
      <c r="O22" s="85">
        <v>152.0</v>
      </c>
      <c r="P22" s="85">
        <v>163.0</v>
      </c>
      <c r="Q22" s="85">
        <v>123.0</v>
      </c>
      <c r="R22" s="85">
        <v>165.0</v>
      </c>
      <c r="S22" s="85">
        <v>165.0</v>
      </c>
      <c r="T22" s="591">
        <v>87.0</v>
      </c>
      <c r="U22" s="591">
        <v>71.0</v>
      </c>
      <c r="V22" s="85"/>
      <c r="W22" s="85"/>
      <c r="X22" s="85"/>
      <c r="Y22" s="85"/>
      <c r="Z22" s="85"/>
      <c r="AA22" s="87"/>
      <c r="AB22" s="87"/>
      <c r="AC22" s="88"/>
      <c r="AD22" s="88"/>
      <c r="AE22" s="88"/>
      <c r="AF22" s="88"/>
      <c r="AG22" s="88"/>
      <c r="AH22" s="88"/>
      <c r="AI22" s="88"/>
      <c r="AJ22" s="88"/>
      <c r="AK22" s="88"/>
      <c r="AL22" s="88"/>
      <c r="AM22" s="89"/>
      <c r="AN22" s="88"/>
    </row>
    <row r="23" ht="161.25" customHeight="1">
      <c r="A23" s="90" t="s">
        <v>35</v>
      </c>
      <c r="B23" s="592" t="s">
        <v>955</v>
      </c>
      <c r="C23" s="593" t="s">
        <v>956</v>
      </c>
      <c r="D23" s="592" t="s">
        <v>957</v>
      </c>
      <c r="E23" s="592" t="s">
        <v>958</v>
      </c>
      <c r="F23" s="593" t="s">
        <v>959</v>
      </c>
      <c r="G23" s="592" t="s">
        <v>960</v>
      </c>
      <c r="H23" s="592" t="s">
        <v>961</v>
      </c>
      <c r="I23" s="592" t="s">
        <v>962</v>
      </c>
      <c r="J23" s="593" t="s">
        <v>963</v>
      </c>
      <c r="K23" s="593" t="s">
        <v>964</v>
      </c>
      <c r="L23" s="592" t="s">
        <v>965</v>
      </c>
      <c r="M23" s="592" t="s">
        <v>966</v>
      </c>
      <c r="N23" s="593" t="s">
        <v>967</v>
      </c>
      <c r="O23" s="592" t="s">
        <v>968</v>
      </c>
      <c r="P23" s="592" t="s">
        <v>969</v>
      </c>
      <c r="Q23" s="592" t="s">
        <v>970</v>
      </c>
      <c r="R23" s="593" t="s">
        <v>971</v>
      </c>
      <c r="S23" s="593" t="s">
        <v>972</v>
      </c>
      <c r="T23" s="594" t="s">
        <v>973</v>
      </c>
      <c r="U23" s="592" t="s">
        <v>974</v>
      </c>
      <c r="V23" s="535" t="s">
        <v>975</v>
      </c>
      <c r="W23" s="91"/>
      <c r="X23" s="91"/>
      <c r="Y23" s="91"/>
      <c r="Z23" s="91"/>
      <c r="AA23" s="91"/>
      <c r="AB23" s="94"/>
      <c r="AC23" s="95"/>
      <c r="AD23" s="95"/>
      <c r="AE23" s="95"/>
      <c r="AF23" s="95"/>
      <c r="AG23" s="95"/>
      <c r="AH23" s="95"/>
      <c r="AI23" s="95"/>
      <c r="AJ23" s="95"/>
      <c r="AK23" s="95"/>
      <c r="AL23" s="95"/>
      <c r="AM23" s="95"/>
      <c r="AN23" s="95"/>
    </row>
    <row r="24">
      <c r="A24" s="96" t="s">
        <v>36</v>
      </c>
      <c r="B24" s="97">
        <v>1.0</v>
      </c>
      <c r="C24" s="98">
        <v>0.0</v>
      </c>
      <c r="D24" s="97">
        <v>1.0</v>
      </c>
      <c r="E24" s="97">
        <v>1.0</v>
      </c>
      <c r="F24" s="98">
        <v>0.0</v>
      </c>
      <c r="G24" s="97">
        <v>1.0</v>
      </c>
      <c r="H24" s="97">
        <v>1.0</v>
      </c>
      <c r="I24" s="97">
        <v>1.0</v>
      </c>
      <c r="J24" s="98">
        <v>0.0</v>
      </c>
      <c r="K24" s="98">
        <v>0.0</v>
      </c>
      <c r="L24" s="97">
        <v>1.0</v>
      </c>
      <c r="M24" s="97">
        <v>1.0</v>
      </c>
      <c r="N24" s="97">
        <v>0.0</v>
      </c>
      <c r="O24" s="97">
        <v>1.0</v>
      </c>
      <c r="P24" s="97">
        <v>1.0</v>
      </c>
      <c r="Q24" s="97">
        <v>1.0</v>
      </c>
      <c r="R24" s="97">
        <v>0.0</v>
      </c>
      <c r="S24" s="98">
        <v>0.0</v>
      </c>
      <c r="T24" s="595">
        <v>0.0</v>
      </c>
      <c r="U24" s="97">
        <v>1.0</v>
      </c>
      <c r="V24" s="98">
        <v>0.0</v>
      </c>
      <c r="W24" s="98">
        <v>0.0</v>
      </c>
      <c r="X24" s="98">
        <v>0.0</v>
      </c>
      <c r="Y24" s="98">
        <v>0.0</v>
      </c>
      <c r="Z24" s="98">
        <v>0.0</v>
      </c>
      <c r="AA24" s="98">
        <v>0.0</v>
      </c>
      <c r="AB24" s="99"/>
      <c r="AC24" s="100"/>
      <c r="AD24" s="100"/>
      <c r="AE24" s="100"/>
      <c r="AF24" s="100"/>
      <c r="AG24" s="100"/>
      <c r="AH24" s="100"/>
      <c r="AI24" s="100"/>
      <c r="AJ24" s="100"/>
      <c r="AK24" s="100"/>
      <c r="AL24" s="100"/>
      <c r="AM24" s="100"/>
      <c r="AN24" s="100"/>
    </row>
    <row r="25">
      <c r="A25" s="101" t="s">
        <v>37</v>
      </c>
      <c r="B25" s="102">
        <f t="shared" ref="B25:U25" si="2">IFERROR(B19/B8, 0)</f>
        <v>0.8111111111</v>
      </c>
      <c r="C25" s="102">
        <f t="shared" si="2"/>
        <v>0.8157894737</v>
      </c>
      <c r="D25" s="102">
        <f t="shared" si="2"/>
        <v>1.079812207</v>
      </c>
      <c r="E25" s="102">
        <f t="shared" si="2"/>
        <v>0.872</v>
      </c>
      <c r="F25" s="102">
        <f t="shared" si="2"/>
        <v>0.9489361702</v>
      </c>
      <c r="G25" s="102">
        <f t="shared" si="2"/>
        <v>0.8211382114</v>
      </c>
      <c r="H25" s="102">
        <f t="shared" si="2"/>
        <v>0.8479262673</v>
      </c>
      <c r="I25" s="102">
        <f t="shared" si="2"/>
        <v>0.9029126214</v>
      </c>
      <c r="J25" s="102">
        <f t="shared" si="2"/>
        <v>0.7873303167</v>
      </c>
      <c r="K25" s="102">
        <f t="shared" si="2"/>
        <v>0.6666666667</v>
      </c>
      <c r="L25" s="102">
        <f t="shared" si="2"/>
        <v>0.9703703704</v>
      </c>
      <c r="M25" s="102">
        <f t="shared" si="2"/>
        <v>0.8440366972</v>
      </c>
      <c r="N25" s="102">
        <f t="shared" si="2"/>
        <v>1.008928571</v>
      </c>
      <c r="O25" s="102">
        <f t="shared" si="2"/>
        <v>1.059210526</v>
      </c>
      <c r="P25" s="102">
        <f t="shared" si="2"/>
        <v>1.028901734</v>
      </c>
      <c r="Q25" s="102">
        <f t="shared" si="2"/>
        <v>0.9865771812</v>
      </c>
      <c r="R25" s="102">
        <f t="shared" si="2"/>
        <v>0.8685714286</v>
      </c>
      <c r="S25" s="102">
        <f t="shared" si="2"/>
        <v>0.904</v>
      </c>
      <c r="T25" s="596">
        <f t="shared" si="2"/>
        <v>0.7263157895</v>
      </c>
      <c r="U25" s="596">
        <f t="shared" si="2"/>
        <v>0.5888888889</v>
      </c>
      <c r="V25" s="103"/>
      <c r="W25" s="103"/>
      <c r="X25" s="103"/>
      <c r="Y25" s="103"/>
      <c r="Z25" s="103"/>
      <c r="AA25" s="103"/>
    </row>
    <row r="26">
      <c r="A26" s="105" t="s">
        <v>38</v>
      </c>
      <c r="B26" s="106">
        <f t="shared" ref="B26:U26" si="3">IFERROR(B12/B18, 0)</f>
        <v>0.3076923077</v>
      </c>
      <c r="C26" s="106">
        <f t="shared" si="3"/>
        <v>0.2043010753</v>
      </c>
      <c r="D26" s="106">
        <f t="shared" si="3"/>
        <v>0.2642487047</v>
      </c>
      <c r="E26" s="106">
        <f t="shared" si="3"/>
        <v>0.1666666667</v>
      </c>
      <c r="F26" s="106">
        <f t="shared" si="3"/>
        <v>0.2561983471</v>
      </c>
      <c r="G26" s="106">
        <f t="shared" si="3"/>
        <v>0.2883435583</v>
      </c>
      <c r="H26" s="106">
        <f t="shared" si="3"/>
        <v>0.2432432432</v>
      </c>
      <c r="I26" s="106">
        <f t="shared" si="3"/>
        <v>0.38</v>
      </c>
      <c r="J26" s="106">
        <f t="shared" si="3"/>
        <v>0.3146853147</v>
      </c>
      <c r="K26" s="106">
        <f t="shared" si="3"/>
        <v>0.3117647059</v>
      </c>
      <c r="L26" s="106">
        <f t="shared" si="3"/>
        <v>0.1710526316</v>
      </c>
      <c r="M26" s="106">
        <f t="shared" si="3"/>
        <v>0.3312883436</v>
      </c>
      <c r="N26" s="106">
        <f t="shared" si="3"/>
        <v>0.1948717949</v>
      </c>
      <c r="O26" s="106">
        <f t="shared" si="3"/>
        <v>0.2236024845</v>
      </c>
      <c r="P26" s="106">
        <f t="shared" si="3"/>
        <v>0.07142857143</v>
      </c>
      <c r="Q26" s="106">
        <f t="shared" si="3"/>
        <v>0.2066115702</v>
      </c>
      <c r="R26" s="106">
        <f t="shared" si="3"/>
        <v>0.08450704225</v>
      </c>
      <c r="S26" s="106">
        <f t="shared" si="3"/>
        <v>0.4459459459</v>
      </c>
      <c r="T26" s="597">
        <f t="shared" si="3"/>
        <v>0.1639344262</v>
      </c>
      <c r="U26" s="597">
        <f t="shared" si="3"/>
        <v>0.2075471698</v>
      </c>
      <c r="V26" s="107"/>
      <c r="W26" s="107"/>
      <c r="X26" s="107"/>
      <c r="Y26" s="107"/>
      <c r="Z26" s="107"/>
      <c r="AA26" s="107"/>
    </row>
    <row r="27">
      <c r="A27" s="109" t="s">
        <v>39</v>
      </c>
      <c r="B27" s="110">
        <f t="shared" ref="B27:U27" si="4">IFERROR(B20/B18, 0)</f>
        <v>0.2846153846</v>
      </c>
      <c r="C27" s="110">
        <f t="shared" si="4"/>
        <v>0.435483871</v>
      </c>
      <c r="D27" s="110">
        <f t="shared" si="4"/>
        <v>0.6424870466</v>
      </c>
      <c r="E27" s="110">
        <f t="shared" si="4"/>
        <v>0.5101010101</v>
      </c>
      <c r="F27" s="110">
        <f t="shared" si="4"/>
        <v>0.7024793388</v>
      </c>
      <c r="G27" s="110">
        <f t="shared" si="4"/>
        <v>0.3558282209</v>
      </c>
      <c r="H27" s="110">
        <f t="shared" si="4"/>
        <v>0.6936936937</v>
      </c>
      <c r="I27" s="110">
        <f t="shared" si="4"/>
        <v>0.28</v>
      </c>
      <c r="J27" s="110">
        <f t="shared" si="4"/>
        <v>0.6503496503</v>
      </c>
      <c r="K27" s="110">
        <f t="shared" si="4"/>
        <v>0.5705882353</v>
      </c>
      <c r="L27" s="110">
        <f t="shared" si="4"/>
        <v>0.5855263158</v>
      </c>
      <c r="M27" s="110">
        <f t="shared" si="4"/>
        <v>0.2024539877</v>
      </c>
      <c r="N27" s="110">
        <f t="shared" si="4"/>
        <v>0.4820512821</v>
      </c>
      <c r="O27" s="110">
        <f t="shared" si="4"/>
        <v>0.4534161491</v>
      </c>
      <c r="P27" s="110">
        <f t="shared" si="4"/>
        <v>0.25</v>
      </c>
      <c r="Q27" s="110">
        <f t="shared" si="4"/>
        <v>0.2479338843</v>
      </c>
      <c r="R27" s="110">
        <f t="shared" si="4"/>
        <v>0.7042253521</v>
      </c>
      <c r="S27" s="110">
        <f t="shared" si="4"/>
        <v>0.6891891892</v>
      </c>
      <c r="T27" s="598">
        <f t="shared" si="4"/>
        <v>0.4918032787</v>
      </c>
      <c r="U27" s="598">
        <f t="shared" si="4"/>
        <v>0.1509433962</v>
      </c>
      <c r="V27" s="110"/>
      <c r="W27" s="110"/>
      <c r="X27" s="110"/>
      <c r="Y27" s="110"/>
      <c r="Z27" s="110"/>
      <c r="AA27" s="110"/>
      <c r="AB27" s="112"/>
      <c r="AC27" s="113"/>
      <c r="AD27" s="113"/>
      <c r="AE27" s="113"/>
      <c r="AF27" s="113"/>
      <c r="AG27" s="113"/>
      <c r="AH27" s="113"/>
      <c r="AI27" s="113"/>
      <c r="AJ27" s="113"/>
      <c r="AK27" s="113"/>
      <c r="AL27" s="113"/>
      <c r="AM27" s="113"/>
      <c r="AN27" s="113"/>
    </row>
    <row r="28">
      <c r="A28" s="114" t="s">
        <v>40</v>
      </c>
      <c r="B28" s="115">
        <f t="shared" ref="B28:U28" si="5">B22/B8</f>
        <v>0.8833333333</v>
      </c>
      <c r="C28" s="115">
        <f t="shared" si="5"/>
        <v>0.9298245614</v>
      </c>
      <c r="D28" s="115">
        <f t="shared" si="5"/>
        <v>1</v>
      </c>
      <c r="E28" s="115">
        <f t="shared" si="5"/>
        <v>0.836</v>
      </c>
      <c r="F28" s="115">
        <f t="shared" si="5"/>
        <v>0.5744680851</v>
      </c>
      <c r="G28" s="115">
        <f t="shared" si="5"/>
        <v>0.8008130081</v>
      </c>
      <c r="H28" s="115">
        <f t="shared" si="5"/>
        <v>0.6267281106</v>
      </c>
      <c r="I28" s="115">
        <f t="shared" si="5"/>
        <v>0.5825242718</v>
      </c>
      <c r="J28" s="115">
        <f t="shared" si="5"/>
        <v>0.8009049774</v>
      </c>
      <c r="K28" s="115">
        <f t="shared" si="5"/>
        <v>0.8426966292</v>
      </c>
      <c r="L28" s="115">
        <f t="shared" si="5"/>
        <v>0.5925925926</v>
      </c>
      <c r="M28" s="115">
        <f t="shared" si="5"/>
        <v>0.7844036697</v>
      </c>
      <c r="N28" s="115">
        <f t="shared" si="5"/>
        <v>0.8616071429</v>
      </c>
      <c r="O28" s="115">
        <f t="shared" si="5"/>
        <v>1</v>
      </c>
      <c r="P28" s="115">
        <f t="shared" si="5"/>
        <v>0.9421965318</v>
      </c>
      <c r="Q28" s="115">
        <f t="shared" si="5"/>
        <v>0.8255033557</v>
      </c>
      <c r="R28" s="115">
        <f t="shared" si="5"/>
        <v>0.9428571429</v>
      </c>
      <c r="S28" s="115">
        <f t="shared" si="5"/>
        <v>1.32</v>
      </c>
      <c r="T28" s="599">
        <f t="shared" si="5"/>
        <v>0.9157894737</v>
      </c>
      <c r="U28" s="599">
        <f t="shared" si="5"/>
        <v>0.7888888889</v>
      </c>
      <c r="V28" s="115"/>
      <c r="W28" s="115"/>
      <c r="X28" s="115"/>
      <c r="Y28" s="115"/>
      <c r="Z28" s="115"/>
      <c r="AA28" s="115"/>
      <c r="AB28" s="112"/>
      <c r="AC28" s="113"/>
      <c r="AD28" s="113"/>
      <c r="AE28" s="113"/>
      <c r="AF28" s="113"/>
      <c r="AG28" s="113"/>
      <c r="AH28" s="113"/>
      <c r="AI28" s="113"/>
      <c r="AJ28" s="113"/>
      <c r="AK28" s="113"/>
      <c r="AL28" s="113"/>
      <c r="AM28" s="113"/>
      <c r="AN28" s="113"/>
    </row>
    <row r="29">
      <c r="A29" s="600" t="s">
        <v>976</v>
      </c>
      <c r="B29" s="601">
        <f t="shared" ref="B29:U29" si="6">B12/B8</f>
        <v>0.2222222222</v>
      </c>
      <c r="C29" s="601">
        <f t="shared" si="6"/>
        <v>0.1666666667</v>
      </c>
      <c r="D29" s="601">
        <f t="shared" si="6"/>
        <v>0.2394366197</v>
      </c>
      <c r="E29" s="601">
        <f t="shared" si="6"/>
        <v>0.132</v>
      </c>
      <c r="F29" s="601">
        <f t="shared" si="6"/>
        <v>0.1319148936</v>
      </c>
      <c r="G29" s="601">
        <f t="shared" si="6"/>
        <v>0.1910569106</v>
      </c>
      <c r="H29" s="601">
        <f t="shared" si="6"/>
        <v>0.1244239631</v>
      </c>
      <c r="I29" s="601">
        <f t="shared" si="6"/>
        <v>0.1844660194</v>
      </c>
      <c r="J29" s="601">
        <f t="shared" si="6"/>
        <v>0.2036199095</v>
      </c>
      <c r="K29" s="601">
        <f t="shared" si="6"/>
        <v>0.1985018727</v>
      </c>
      <c r="L29" s="601">
        <f t="shared" si="6"/>
        <v>0.0962962963</v>
      </c>
      <c r="M29" s="601">
        <f t="shared" si="6"/>
        <v>0.247706422</v>
      </c>
      <c r="N29" s="601">
        <f t="shared" si="6"/>
        <v>0.1696428571</v>
      </c>
      <c r="O29" s="601">
        <f t="shared" si="6"/>
        <v>0.2368421053</v>
      </c>
      <c r="P29" s="601">
        <f t="shared" si="6"/>
        <v>0.06936416185</v>
      </c>
      <c r="Q29" s="601">
        <f t="shared" si="6"/>
        <v>0.1677852349</v>
      </c>
      <c r="R29" s="601">
        <f t="shared" si="6"/>
        <v>0.06857142857</v>
      </c>
      <c r="S29" s="601">
        <f t="shared" si="6"/>
        <v>0.264</v>
      </c>
      <c r="T29" s="601">
        <f t="shared" si="6"/>
        <v>0.1052631579</v>
      </c>
      <c r="U29" s="601">
        <f t="shared" si="6"/>
        <v>0.1222222222</v>
      </c>
      <c r="V29" s="602"/>
      <c r="W29" s="602"/>
      <c r="X29" s="602"/>
      <c r="Y29" s="602"/>
      <c r="Z29" s="602"/>
      <c r="AA29" s="602"/>
      <c r="AB29" s="603"/>
      <c r="AC29" s="603"/>
      <c r="AD29" s="603"/>
      <c r="AE29" s="603"/>
      <c r="AF29" s="603"/>
      <c r="AG29" s="604"/>
      <c r="AH29" s="604"/>
      <c r="AI29" s="604"/>
      <c r="AJ29" s="604"/>
      <c r="AK29" s="604"/>
      <c r="AL29" s="604"/>
      <c r="AM29" s="604"/>
      <c r="AN29" s="604"/>
    </row>
    <row r="30">
      <c r="A30" s="117" t="s">
        <v>41</v>
      </c>
      <c r="B30" s="118"/>
      <c r="C30" s="119"/>
      <c r="D30" s="119"/>
      <c r="E30" s="119"/>
      <c r="F30" s="119"/>
      <c r="G30" s="119"/>
      <c r="H30" s="119"/>
      <c r="I30" s="119"/>
      <c r="J30" s="119"/>
      <c r="K30" s="119"/>
      <c r="L30" s="119"/>
      <c r="M30" s="119"/>
      <c r="N30" s="119"/>
      <c r="O30" s="119"/>
      <c r="P30" s="119"/>
      <c r="Q30" s="119"/>
      <c r="R30" s="119"/>
      <c r="S30" s="119"/>
      <c r="T30" s="605"/>
      <c r="U30" s="119"/>
      <c r="V30" s="119"/>
      <c r="W30" s="119"/>
      <c r="X30" s="119"/>
      <c r="Y30" s="119"/>
      <c r="Z30" s="119"/>
      <c r="AA30" s="119"/>
      <c r="AB30" s="121"/>
      <c r="AC30" s="121"/>
      <c r="AD30" s="121"/>
      <c r="AE30" s="121"/>
      <c r="AF30" s="121"/>
      <c r="AG30" s="99"/>
      <c r="AH30" s="99"/>
      <c r="AI30" s="99"/>
      <c r="AJ30" s="99"/>
      <c r="AK30" s="99"/>
      <c r="AL30" s="99"/>
      <c r="AM30" s="99"/>
      <c r="AN30" s="99"/>
    </row>
    <row r="31">
      <c r="A31" s="184" t="s">
        <v>141</v>
      </c>
      <c r="B31" s="185">
        <f t="shared" ref="B31:AA31" si="7">B88/B8</f>
        <v>0</v>
      </c>
      <c r="C31" s="185">
        <f t="shared" si="7"/>
        <v>0</v>
      </c>
      <c r="D31" s="185">
        <f t="shared" si="7"/>
        <v>0</v>
      </c>
      <c r="E31" s="185">
        <f t="shared" si="7"/>
        <v>0</v>
      </c>
      <c r="F31" s="185">
        <f t="shared" si="7"/>
        <v>0</v>
      </c>
      <c r="G31" s="185">
        <f t="shared" si="7"/>
        <v>0</v>
      </c>
      <c r="H31" s="185">
        <f t="shared" si="7"/>
        <v>0</v>
      </c>
      <c r="I31" s="185">
        <f t="shared" si="7"/>
        <v>0</v>
      </c>
      <c r="J31" s="185">
        <f t="shared" si="7"/>
        <v>0</v>
      </c>
      <c r="K31" s="185">
        <f t="shared" si="7"/>
        <v>0</v>
      </c>
      <c r="L31" s="185">
        <f t="shared" si="7"/>
        <v>0</v>
      </c>
      <c r="M31" s="185">
        <f t="shared" si="7"/>
        <v>0</v>
      </c>
      <c r="N31" s="185">
        <f t="shared" si="7"/>
        <v>0</v>
      </c>
      <c r="O31" s="185">
        <f t="shared" si="7"/>
        <v>0</v>
      </c>
      <c r="P31" s="185">
        <f t="shared" si="7"/>
        <v>0</v>
      </c>
      <c r="Q31" s="185">
        <f t="shared" si="7"/>
        <v>0</v>
      </c>
      <c r="R31" s="185">
        <f t="shared" si="7"/>
        <v>0</v>
      </c>
      <c r="S31" s="185">
        <f t="shared" si="7"/>
        <v>0</v>
      </c>
      <c r="T31" s="185">
        <f t="shared" si="7"/>
        <v>0</v>
      </c>
      <c r="U31" s="185">
        <f t="shared" si="7"/>
        <v>0</v>
      </c>
      <c r="V31" s="185" t="str">
        <f t="shared" si="7"/>
        <v>#DIV/0!</v>
      </c>
      <c r="W31" s="185" t="str">
        <f t="shared" si="7"/>
        <v>#DIV/0!</v>
      </c>
      <c r="X31" s="185" t="str">
        <f t="shared" si="7"/>
        <v>#DIV/0!</v>
      </c>
      <c r="Y31" s="185" t="str">
        <f t="shared" si="7"/>
        <v>#DIV/0!</v>
      </c>
      <c r="Z31" s="185" t="str">
        <f t="shared" si="7"/>
        <v>#DIV/0!</v>
      </c>
      <c r="AA31" s="185" t="str">
        <f t="shared" si="7"/>
        <v>#DIV/0!</v>
      </c>
      <c r="AB31" s="240"/>
      <c r="AC31" s="186"/>
      <c r="AD31" s="186"/>
      <c r="AE31" s="186"/>
      <c r="AF31" s="186"/>
      <c r="AG31" s="186"/>
      <c r="AH31" s="186"/>
      <c r="AI31" s="186"/>
      <c r="AJ31" s="186"/>
      <c r="AK31" s="186"/>
      <c r="AL31" s="186"/>
      <c r="AM31" s="186"/>
      <c r="AN31" s="186"/>
    </row>
    <row r="32">
      <c r="A32" s="187" t="s">
        <v>42</v>
      </c>
      <c r="B32" s="191">
        <v>0.18</v>
      </c>
      <c r="C32" s="191">
        <f>69/C8</f>
        <v>0.3026315789</v>
      </c>
      <c r="D32" s="191">
        <v>0.31</v>
      </c>
      <c r="E32" s="185">
        <f>E46/E8</f>
        <v>0.368</v>
      </c>
      <c r="F32" s="191">
        <v>0.33</v>
      </c>
      <c r="G32" s="185">
        <f t="shared" ref="G32:U32" si="8">G46/G8</f>
        <v>0.1707317073</v>
      </c>
      <c r="H32" s="185">
        <f t="shared" si="8"/>
        <v>0.2580645161</v>
      </c>
      <c r="I32" s="185">
        <f t="shared" si="8"/>
        <v>0.2815533981</v>
      </c>
      <c r="J32" s="185">
        <f t="shared" si="8"/>
        <v>0.2986425339</v>
      </c>
      <c r="K32" s="185">
        <f t="shared" si="8"/>
        <v>0.2996254682</v>
      </c>
      <c r="L32" s="185">
        <f t="shared" si="8"/>
        <v>0.2592592593</v>
      </c>
      <c r="M32" s="185">
        <f t="shared" si="8"/>
        <v>0.3577981651</v>
      </c>
      <c r="N32" s="185">
        <f t="shared" si="8"/>
        <v>0.3883928571</v>
      </c>
      <c r="O32" s="185">
        <f t="shared" si="8"/>
        <v>0.5197368421</v>
      </c>
      <c r="P32" s="185">
        <f t="shared" si="8"/>
        <v>0.5722543353</v>
      </c>
      <c r="Q32" s="185">
        <f t="shared" si="8"/>
        <v>0.4026845638</v>
      </c>
      <c r="R32" s="185">
        <f t="shared" si="8"/>
        <v>0.6571428571</v>
      </c>
      <c r="S32" s="185">
        <f t="shared" si="8"/>
        <v>0.576</v>
      </c>
      <c r="T32" s="185">
        <f t="shared" si="8"/>
        <v>0.4421052632</v>
      </c>
      <c r="U32" s="185">
        <f t="shared" si="8"/>
        <v>0.1444444444</v>
      </c>
      <c r="V32" s="185">
        <v>0.0</v>
      </c>
      <c r="W32" s="185">
        <v>0.0</v>
      </c>
      <c r="X32" s="185">
        <v>0.0</v>
      </c>
      <c r="Y32" s="185">
        <v>0.0</v>
      </c>
      <c r="Z32" s="185">
        <v>0.0</v>
      </c>
      <c r="AA32" s="185">
        <v>0.0</v>
      </c>
      <c r="AB32" s="188"/>
      <c r="AC32" s="189"/>
      <c r="AD32" s="189"/>
      <c r="AE32" s="189"/>
      <c r="AF32" s="189"/>
      <c r="AG32" s="147"/>
      <c r="AH32" s="147"/>
      <c r="AI32" s="147"/>
      <c r="AJ32" s="147"/>
      <c r="AK32" s="147"/>
      <c r="AL32" s="147"/>
      <c r="AM32" s="147"/>
      <c r="AN32" s="99"/>
    </row>
    <row r="33">
      <c r="A33" s="190" t="s">
        <v>43</v>
      </c>
      <c r="B33" s="191">
        <v>0.0</v>
      </c>
      <c r="C33" s="185">
        <v>1.0</v>
      </c>
      <c r="D33" s="191">
        <v>1.0</v>
      </c>
      <c r="E33" s="191">
        <v>1.0</v>
      </c>
      <c r="F33" s="191">
        <v>1.0</v>
      </c>
      <c r="G33" s="185">
        <v>0.0</v>
      </c>
      <c r="H33" s="191">
        <v>1.0</v>
      </c>
      <c r="I33" s="185">
        <v>0.0</v>
      </c>
      <c r="J33" s="191">
        <v>1.0</v>
      </c>
      <c r="K33" s="191">
        <v>1.0</v>
      </c>
      <c r="L33" s="191">
        <v>1.0</v>
      </c>
      <c r="M33" s="191">
        <v>1.0</v>
      </c>
      <c r="N33" s="191">
        <v>1.0</v>
      </c>
      <c r="O33" s="191">
        <v>1.0</v>
      </c>
      <c r="P33" s="191">
        <v>1.0</v>
      </c>
      <c r="Q33" s="191">
        <v>1.0</v>
      </c>
      <c r="R33" s="191">
        <v>1.0</v>
      </c>
      <c r="S33" s="191">
        <v>1.0</v>
      </c>
      <c r="T33" s="191">
        <v>1.0</v>
      </c>
      <c r="U33" s="191">
        <v>1.0</v>
      </c>
      <c r="V33" s="185">
        <v>0.0</v>
      </c>
      <c r="W33" s="185">
        <v>0.0</v>
      </c>
      <c r="X33" s="185">
        <v>0.0</v>
      </c>
      <c r="Y33" s="185">
        <v>0.0</v>
      </c>
      <c r="Z33" s="185">
        <v>0.0</v>
      </c>
      <c r="AA33" s="185">
        <v>0.0</v>
      </c>
      <c r="AB33" s="189"/>
      <c r="AC33" s="189"/>
      <c r="AD33" s="189"/>
      <c r="AE33" s="189"/>
      <c r="AF33" s="189"/>
      <c r="AG33" s="147"/>
      <c r="AH33" s="147"/>
      <c r="AI33" s="147"/>
      <c r="AJ33" s="147"/>
      <c r="AK33" s="147"/>
      <c r="AL33" s="147"/>
      <c r="AM33" s="147"/>
      <c r="AN33" s="99"/>
    </row>
    <row r="34">
      <c r="A34" s="190" t="s">
        <v>44</v>
      </c>
      <c r="B34" s="192">
        <f t="shared" ref="B34:I34" si="9">(B24*0.7) + (IF(B32 &gt;= 30%, 1, 0)*0.15) + (B33*0.15)</f>
        <v>0.7</v>
      </c>
      <c r="C34" s="192">
        <f t="shared" si="9"/>
        <v>0.3</v>
      </c>
      <c r="D34" s="192">
        <f t="shared" si="9"/>
        <v>1</v>
      </c>
      <c r="E34" s="192">
        <f t="shared" si="9"/>
        <v>1</v>
      </c>
      <c r="F34" s="192">
        <f t="shared" si="9"/>
        <v>0.3</v>
      </c>
      <c r="G34" s="192">
        <f t="shared" si="9"/>
        <v>0.7</v>
      </c>
      <c r="H34" s="192">
        <f t="shared" si="9"/>
        <v>0.85</v>
      </c>
      <c r="I34" s="192">
        <f t="shared" si="9"/>
        <v>0.7</v>
      </c>
      <c r="J34" s="195">
        <v>0.3</v>
      </c>
      <c r="K34" s="195">
        <v>0.3</v>
      </c>
      <c r="L34" s="192">
        <f t="shared" ref="L34:AA34" si="10">(L24*0.7) + (IF(L32 &gt;= 30%, 1, 0)*0.15) + (L33*0.15)</f>
        <v>0.85</v>
      </c>
      <c r="M34" s="192">
        <f t="shared" si="10"/>
        <v>1</v>
      </c>
      <c r="N34" s="192">
        <f t="shared" si="10"/>
        <v>0.3</v>
      </c>
      <c r="O34" s="192">
        <f t="shared" si="10"/>
        <v>1</v>
      </c>
      <c r="P34" s="192">
        <f t="shared" si="10"/>
        <v>1</v>
      </c>
      <c r="Q34" s="192">
        <f t="shared" si="10"/>
        <v>1</v>
      </c>
      <c r="R34" s="192">
        <f t="shared" si="10"/>
        <v>0.3</v>
      </c>
      <c r="S34" s="192">
        <f t="shared" si="10"/>
        <v>0.3</v>
      </c>
      <c r="T34" s="192">
        <f t="shared" si="10"/>
        <v>0.3</v>
      </c>
      <c r="U34" s="192">
        <f t="shared" si="10"/>
        <v>0.85</v>
      </c>
      <c r="V34" s="192">
        <f t="shared" si="10"/>
        <v>0</v>
      </c>
      <c r="W34" s="192">
        <f t="shared" si="10"/>
        <v>0</v>
      </c>
      <c r="X34" s="192">
        <f t="shared" si="10"/>
        <v>0</v>
      </c>
      <c r="Y34" s="192">
        <f t="shared" si="10"/>
        <v>0</v>
      </c>
      <c r="Z34" s="192">
        <f t="shared" si="10"/>
        <v>0</v>
      </c>
      <c r="AA34" s="192">
        <f t="shared" si="10"/>
        <v>0</v>
      </c>
      <c r="AB34" s="189"/>
      <c r="AC34" s="189"/>
      <c r="AD34" s="189"/>
      <c r="AE34" s="189"/>
      <c r="AF34" s="189"/>
      <c r="AG34" s="147"/>
      <c r="AH34" s="147"/>
      <c r="AI34" s="147"/>
      <c r="AJ34" s="147"/>
      <c r="AK34" s="147"/>
      <c r="AL34" s="147"/>
      <c r="AM34" s="147"/>
      <c r="AN34" s="99"/>
    </row>
    <row r="35">
      <c r="A35" s="193" t="s">
        <v>142</v>
      </c>
      <c r="B35" s="192"/>
      <c r="C35" s="192"/>
      <c r="D35" s="192"/>
      <c r="E35" s="192"/>
      <c r="F35" s="192"/>
      <c r="G35" s="192"/>
      <c r="H35" s="192"/>
      <c r="I35" s="192"/>
      <c r="J35" s="195"/>
      <c r="K35" s="195"/>
      <c r="L35" s="192"/>
      <c r="M35" s="192"/>
      <c r="N35" s="192">
        <v>0.3</v>
      </c>
      <c r="O35" s="192">
        <v>1.0</v>
      </c>
      <c r="P35" s="192">
        <v>1.0</v>
      </c>
      <c r="Q35" s="192">
        <v>1.0</v>
      </c>
      <c r="R35" s="192">
        <v>0.3</v>
      </c>
      <c r="S35" s="192">
        <v>0.3</v>
      </c>
      <c r="T35" s="192">
        <v>0.3</v>
      </c>
      <c r="U35" s="192"/>
      <c r="V35" s="192"/>
      <c r="W35" s="192"/>
      <c r="X35" s="192"/>
      <c r="Y35" s="192"/>
      <c r="Z35" s="192"/>
      <c r="AA35" s="192"/>
      <c r="AB35" s="189"/>
      <c r="AC35" s="189"/>
      <c r="AD35" s="189"/>
      <c r="AE35" s="189"/>
      <c r="AF35" s="189"/>
      <c r="AG35" s="147"/>
      <c r="AH35" s="147"/>
      <c r="AI35" s="147"/>
      <c r="AJ35" s="147"/>
      <c r="AK35" s="147"/>
      <c r="AL35" s="147"/>
      <c r="AM35" s="147"/>
      <c r="AN35" s="99"/>
    </row>
    <row r="36">
      <c r="A36" s="606" t="s">
        <v>977</v>
      </c>
      <c r="B36" s="607"/>
      <c r="C36" s="607"/>
      <c r="D36" s="607"/>
      <c r="E36" s="607"/>
      <c r="F36" s="607"/>
      <c r="G36" s="607"/>
      <c r="H36" s="607"/>
      <c r="I36" s="607"/>
      <c r="J36" s="608">
        <v>21.0</v>
      </c>
      <c r="K36" s="608">
        <v>11.0</v>
      </c>
      <c r="L36" s="608">
        <v>8.0</v>
      </c>
      <c r="M36" s="608">
        <v>11.0</v>
      </c>
      <c r="N36" s="608">
        <v>5.0</v>
      </c>
      <c r="O36" s="609">
        <v>13.0</v>
      </c>
      <c r="P36" s="610">
        <v>13.0</v>
      </c>
      <c r="Q36" s="610">
        <v>19.0</v>
      </c>
      <c r="R36" s="611">
        <v>10.0</v>
      </c>
      <c r="S36" s="612"/>
      <c r="T36" s="607"/>
      <c r="U36" s="379">
        <v>0.0</v>
      </c>
      <c r="V36" s="607"/>
      <c r="W36" s="613"/>
      <c r="X36" s="613"/>
      <c r="Y36" s="613"/>
      <c r="Z36" s="613"/>
      <c r="AA36" s="613"/>
      <c r="AB36" s="607"/>
      <c r="AC36" s="607"/>
      <c r="AD36" s="607"/>
      <c r="AE36" s="607"/>
      <c r="AF36" s="607"/>
      <c r="AG36" s="607"/>
      <c r="AH36" s="607"/>
      <c r="AI36" s="607"/>
      <c r="AJ36" s="607"/>
      <c r="AK36" s="607"/>
      <c r="AL36" s="607"/>
      <c r="AM36" s="607"/>
      <c r="AN36" s="607"/>
    </row>
    <row r="37">
      <c r="A37" s="614" t="s">
        <v>978</v>
      </c>
      <c r="B37" s="615"/>
      <c r="C37" s="615"/>
      <c r="D37" s="615"/>
      <c r="E37" s="615"/>
      <c r="F37" s="615"/>
      <c r="G37" s="615"/>
      <c r="H37" s="615"/>
      <c r="I37" s="615"/>
      <c r="J37" s="616">
        <v>21.0</v>
      </c>
      <c r="K37" s="616">
        <v>8.0</v>
      </c>
      <c r="L37" s="616">
        <v>0.0</v>
      </c>
      <c r="M37" s="616">
        <v>11.0</v>
      </c>
      <c r="N37" s="616">
        <v>8.0</v>
      </c>
      <c r="O37" s="617">
        <v>13.0</v>
      </c>
      <c r="P37" s="618">
        <v>13.0</v>
      </c>
      <c r="Q37" s="618">
        <v>14.0</v>
      </c>
      <c r="R37" s="619">
        <v>10.0</v>
      </c>
      <c r="S37" s="620"/>
      <c r="T37" s="615"/>
      <c r="U37" s="379">
        <v>0.0</v>
      </c>
      <c r="V37" s="615"/>
      <c r="W37" s="621"/>
      <c r="X37" s="621"/>
      <c r="Y37" s="621"/>
      <c r="Z37" s="621"/>
      <c r="AA37" s="621"/>
      <c r="AB37" s="615"/>
      <c r="AC37" s="615"/>
      <c r="AD37" s="615"/>
      <c r="AE37" s="615"/>
      <c r="AF37" s="615"/>
      <c r="AG37" s="615"/>
      <c r="AH37" s="615"/>
      <c r="AI37" s="615"/>
      <c r="AJ37" s="615"/>
      <c r="AK37" s="615"/>
      <c r="AL37" s="615"/>
      <c r="AM37" s="615"/>
      <c r="AN37" s="615"/>
    </row>
    <row r="38">
      <c r="A38" s="622" t="s">
        <v>979</v>
      </c>
      <c r="B38" s="147"/>
      <c r="C38" s="147"/>
      <c r="D38" s="147"/>
      <c r="E38" s="147"/>
      <c r="F38" s="147"/>
      <c r="G38" s="147"/>
      <c r="H38" s="147"/>
      <c r="I38" s="147"/>
      <c r="J38" s="379">
        <v>7.0</v>
      </c>
      <c r="K38" s="379">
        <v>13.0</v>
      </c>
      <c r="L38" s="379">
        <v>0.0</v>
      </c>
      <c r="M38" s="379">
        <v>13.0</v>
      </c>
      <c r="N38" s="379">
        <v>21.0</v>
      </c>
      <c r="O38" s="623">
        <v>0.0</v>
      </c>
      <c r="P38" s="624">
        <v>0.0</v>
      </c>
      <c r="Q38" s="624">
        <v>0.0</v>
      </c>
      <c r="R38" s="625">
        <v>21.0</v>
      </c>
      <c r="S38" s="551"/>
      <c r="T38" s="551"/>
      <c r="U38" s="379">
        <v>5.0</v>
      </c>
      <c r="V38" s="147"/>
      <c r="W38" s="551"/>
      <c r="X38" s="551"/>
      <c r="Y38" s="551"/>
      <c r="Z38" s="551"/>
      <c r="AA38" s="551"/>
      <c r="AB38" s="147"/>
      <c r="AC38" s="147"/>
      <c r="AD38" s="147"/>
      <c r="AE38" s="147"/>
      <c r="AF38" s="147"/>
      <c r="AG38" s="147"/>
      <c r="AH38" s="147"/>
      <c r="AI38" s="147"/>
      <c r="AJ38" s="147"/>
      <c r="AK38" s="147"/>
      <c r="AL38" s="147"/>
      <c r="AM38" s="147"/>
      <c r="AN38" s="147"/>
    </row>
    <row r="39">
      <c r="A39" s="614" t="s">
        <v>980</v>
      </c>
      <c r="B39" s="615"/>
      <c r="C39" s="615"/>
      <c r="D39" s="615"/>
      <c r="E39" s="615"/>
      <c r="F39" s="615"/>
      <c r="G39" s="615"/>
      <c r="H39" s="615"/>
      <c r="I39" s="615"/>
      <c r="J39" s="616">
        <v>7.0</v>
      </c>
      <c r="K39" s="616">
        <v>13.0</v>
      </c>
      <c r="L39" s="616">
        <v>3.0</v>
      </c>
      <c r="M39" s="616">
        <v>13.0</v>
      </c>
      <c r="N39" s="616">
        <v>21.0</v>
      </c>
      <c r="O39" s="617">
        <v>3.0</v>
      </c>
      <c r="P39" s="618">
        <v>0.0</v>
      </c>
      <c r="Q39" s="618">
        <v>0.0</v>
      </c>
      <c r="R39" s="619">
        <v>0.0</v>
      </c>
      <c r="S39" s="621"/>
      <c r="T39" s="621"/>
      <c r="U39" s="379">
        <v>5.0</v>
      </c>
      <c r="V39" s="615"/>
      <c r="W39" s="621"/>
      <c r="X39" s="621"/>
      <c r="Y39" s="621"/>
      <c r="Z39" s="621"/>
      <c r="AA39" s="621"/>
      <c r="AB39" s="615"/>
      <c r="AC39" s="615"/>
      <c r="AD39" s="615"/>
      <c r="AE39" s="615"/>
      <c r="AF39" s="615"/>
      <c r="AG39" s="615"/>
      <c r="AH39" s="615"/>
      <c r="AI39" s="615"/>
      <c r="AJ39" s="615"/>
      <c r="AK39" s="615"/>
      <c r="AL39" s="615"/>
      <c r="AM39" s="615"/>
      <c r="AN39" s="615"/>
    </row>
    <row r="40">
      <c r="A40" s="622" t="s">
        <v>981</v>
      </c>
      <c r="B40" s="147"/>
      <c r="C40" s="147"/>
      <c r="D40" s="147"/>
      <c r="E40" s="147"/>
      <c r="F40" s="147"/>
      <c r="G40" s="147"/>
      <c r="H40" s="147"/>
      <c r="I40" s="147"/>
      <c r="J40" s="379">
        <v>0.0</v>
      </c>
      <c r="K40" s="379">
        <v>8.0</v>
      </c>
      <c r="L40" s="379">
        <v>8.0</v>
      </c>
      <c r="M40" s="379">
        <v>0.0</v>
      </c>
      <c r="N40" s="379">
        <v>16.0</v>
      </c>
      <c r="O40" s="623">
        <v>8.0</v>
      </c>
      <c r="P40" s="624">
        <v>8.0</v>
      </c>
      <c r="Q40" s="624">
        <v>0.0</v>
      </c>
      <c r="R40" s="624">
        <v>8.0</v>
      </c>
      <c r="S40" s="551"/>
      <c r="T40" s="551"/>
      <c r="U40" s="379">
        <v>3.0</v>
      </c>
      <c r="V40" s="147"/>
      <c r="W40" s="551"/>
      <c r="X40" s="551"/>
      <c r="Y40" s="147"/>
      <c r="Z40" s="551"/>
      <c r="AA40" s="626"/>
      <c r="AB40" s="147"/>
      <c r="AC40" s="147"/>
      <c r="AD40" s="147"/>
      <c r="AE40" s="147"/>
      <c r="AF40" s="147"/>
      <c r="AG40" s="147"/>
      <c r="AH40" s="147"/>
      <c r="AI40" s="147"/>
      <c r="AJ40" s="147"/>
      <c r="AK40" s="147"/>
      <c r="AL40" s="147"/>
      <c r="AM40" s="147"/>
      <c r="AN40" s="147"/>
    </row>
    <row r="41">
      <c r="A41" s="627" t="s">
        <v>982</v>
      </c>
      <c r="B41" s="628"/>
      <c r="C41" s="628"/>
      <c r="D41" s="628"/>
      <c r="E41" s="628"/>
      <c r="F41" s="628"/>
      <c r="G41" s="628"/>
      <c r="H41" s="628"/>
      <c r="I41" s="628"/>
      <c r="J41" s="629">
        <v>0.0</v>
      </c>
      <c r="K41" s="629">
        <v>0.0</v>
      </c>
      <c r="L41" s="629">
        <v>8.0</v>
      </c>
      <c r="M41" s="629">
        <v>0.0</v>
      </c>
      <c r="N41" s="629">
        <v>8.0</v>
      </c>
      <c r="O41" s="630">
        <v>8.0</v>
      </c>
      <c r="P41" s="631">
        <v>0.0</v>
      </c>
      <c r="Q41" s="631">
        <v>0.0</v>
      </c>
      <c r="R41" s="631">
        <v>0.0</v>
      </c>
      <c r="S41" s="632"/>
      <c r="T41" s="632"/>
      <c r="U41" s="379">
        <v>3.0</v>
      </c>
      <c r="V41" s="628"/>
      <c r="W41" s="632"/>
      <c r="X41" s="632"/>
      <c r="Y41" s="628"/>
      <c r="Z41" s="632"/>
      <c r="AA41" s="633"/>
      <c r="AB41" s="628"/>
      <c r="AC41" s="628"/>
      <c r="AD41" s="628"/>
      <c r="AE41" s="628"/>
      <c r="AF41" s="628"/>
      <c r="AG41" s="628"/>
      <c r="AH41" s="628"/>
      <c r="AI41" s="628"/>
      <c r="AJ41" s="628"/>
      <c r="AK41" s="628"/>
      <c r="AL41" s="628"/>
      <c r="AM41" s="628"/>
      <c r="AN41" s="628"/>
    </row>
    <row r="42">
      <c r="A42" s="551" t="s">
        <v>983</v>
      </c>
      <c r="B42" s="147"/>
      <c r="C42" s="147"/>
      <c r="D42" s="147"/>
      <c r="E42" s="147"/>
      <c r="F42" s="147"/>
      <c r="G42" s="147"/>
      <c r="H42" s="147"/>
      <c r="I42" s="147"/>
      <c r="J42" s="147"/>
      <c r="K42" s="147"/>
      <c r="L42" s="147"/>
      <c r="M42" s="147"/>
      <c r="N42" s="147"/>
      <c r="O42" s="634"/>
      <c r="P42" s="147"/>
      <c r="Q42" s="147"/>
      <c r="R42" s="635"/>
      <c r="S42" s="147"/>
      <c r="T42" s="147"/>
      <c r="U42" s="147"/>
      <c r="V42" s="197"/>
      <c r="W42" s="197"/>
      <c r="X42" s="147"/>
      <c r="Y42" s="147"/>
      <c r="Z42" s="147"/>
      <c r="AA42" s="147"/>
      <c r="AB42" s="147"/>
      <c r="AC42" s="147"/>
      <c r="AD42" s="147"/>
      <c r="AE42" s="147"/>
      <c r="AF42" s="147"/>
      <c r="AG42" s="147"/>
      <c r="AH42" s="147"/>
      <c r="AI42" s="147"/>
      <c r="AJ42" s="147"/>
      <c r="AK42" s="147"/>
      <c r="AL42" s="147"/>
      <c r="AM42" s="147"/>
      <c r="AN42" s="147"/>
    </row>
    <row r="43">
      <c r="A43" s="551" t="s">
        <v>984</v>
      </c>
      <c r="B43" s="147"/>
      <c r="C43" s="147"/>
      <c r="D43" s="147"/>
      <c r="E43" s="147"/>
      <c r="F43" s="147"/>
      <c r="G43" s="147"/>
      <c r="H43" s="147"/>
      <c r="I43" s="147"/>
      <c r="J43" s="147"/>
      <c r="K43" s="147"/>
      <c r="L43" s="147"/>
      <c r="M43" s="147"/>
      <c r="N43" s="147"/>
      <c r="O43" s="634"/>
      <c r="P43" s="147"/>
      <c r="Q43" s="147"/>
      <c r="R43" s="635"/>
      <c r="S43" s="147"/>
      <c r="T43" s="147"/>
      <c r="U43" s="147"/>
      <c r="V43" s="147"/>
      <c r="W43" s="147"/>
      <c r="X43" s="147"/>
      <c r="Y43" s="147"/>
      <c r="Z43" s="147"/>
      <c r="AA43" s="147"/>
      <c r="AB43" s="147"/>
      <c r="AC43" s="147"/>
      <c r="AD43" s="147"/>
      <c r="AE43" s="147"/>
      <c r="AF43" s="147"/>
      <c r="AG43" s="147"/>
      <c r="AH43" s="147"/>
      <c r="AI43" s="147"/>
      <c r="AJ43" s="147"/>
      <c r="AK43" s="147"/>
      <c r="AL43" s="147"/>
      <c r="AM43" s="147"/>
      <c r="AN43" s="147"/>
    </row>
    <row r="44">
      <c r="A44" s="551" t="s">
        <v>985</v>
      </c>
      <c r="B44" s="147"/>
      <c r="C44" s="147"/>
      <c r="D44" s="147"/>
      <c r="E44" s="147"/>
      <c r="F44" s="147"/>
      <c r="G44" s="147"/>
      <c r="H44" s="147"/>
      <c r="I44" s="147"/>
      <c r="J44" s="147"/>
      <c r="K44" s="147"/>
      <c r="L44" s="147"/>
      <c r="M44" s="147"/>
      <c r="N44" s="147"/>
      <c r="O44" s="634"/>
      <c r="P44" s="147"/>
      <c r="Q44" s="147"/>
      <c r="R44" s="635"/>
      <c r="S44" s="147"/>
      <c r="T44" s="147"/>
      <c r="U44" s="147"/>
      <c r="V44" s="147"/>
      <c r="W44" s="147"/>
      <c r="X44" s="147"/>
      <c r="Y44" s="147"/>
      <c r="Z44" s="147"/>
      <c r="AA44" s="147"/>
      <c r="AB44" s="147"/>
      <c r="AC44" s="147"/>
      <c r="AD44" s="147"/>
      <c r="AE44" s="147"/>
      <c r="AF44" s="147"/>
      <c r="AG44" s="147"/>
      <c r="AH44" s="147"/>
      <c r="AI44" s="147"/>
      <c r="AJ44" s="147"/>
      <c r="AK44" s="147"/>
      <c r="AL44" s="147"/>
      <c r="AM44" s="147"/>
      <c r="AN44" s="147"/>
    </row>
    <row r="45">
      <c r="A45" s="147"/>
      <c r="B45" s="147"/>
      <c r="C45" s="147"/>
      <c r="D45" s="147"/>
      <c r="E45" s="147"/>
      <c r="F45" s="147"/>
      <c r="G45" s="147"/>
      <c r="H45" s="147"/>
      <c r="I45" s="147"/>
      <c r="J45" s="147"/>
      <c r="K45" s="147"/>
      <c r="L45" s="147"/>
      <c r="M45" s="147"/>
      <c r="N45" s="147"/>
      <c r="O45" s="634"/>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row>
    <row r="46">
      <c r="A46" s="551" t="s">
        <v>986</v>
      </c>
      <c r="B46" s="379">
        <v>32.0</v>
      </c>
      <c r="C46" s="199">
        <v>69.0</v>
      </c>
      <c r="D46" s="379">
        <v>67.0</v>
      </c>
      <c r="E46" s="379">
        <v>92.0</v>
      </c>
      <c r="F46" s="379">
        <v>79.0</v>
      </c>
      <c r="G46" s="379">
        <v>42.0</v>
      </c>
      <c r="H46" s="379">
        <v>56.0</v>
      </c>
      <c r="I46" s="379">
        <v>29.0</v>
      </c>
      <c r="J46" s="379">
        <v>66.0</v>
      </c>
      <c r="K46" s="379">
        <v>80.0</v>
      </c>
      <c r="L46" s="379">
        <v>70.0</v>
      </c>
      <c r="M46" s="379">
        <v>78.0</v>
      </c>
      <c r="N46" s="379">
        <v>87.0</v>
      </c>
      <c r="O46" s="623">
        <v>79.0</v>
      </c>
      <c r="P46" s="508">
        <v>99.0</v>
      </c>
      <c r="Q46" s="508">
        <v>60.0</v>
      </c>
      <c r="R46" s="636">
        <v>115.0</v>
      </c>
      <c r="S46" s="508">
        <v>72.0</v>
      </c>
      <c r="T46" s="508">
        <v>42.0</v>
      </c>
      <c r="U46" s="508">
        <v>13.0</v>
      </c>
      <c r="V46" s="197"/>
      <c r="W46" s="197"/>
      <c r="X46" s="197"/>
      <c r="Y46" s="197"/>
      <c r="Z46" s="197"/>
      <c r="AA46" s="197"/>
      <c r="AB46" s="147"/>
      <c r="AC46" s="147"/>
      <c r="AD46" s="147"/>
      <c r="AE46" s="147"/>
      <c r="AF46" s="147"/>
      <c r="AG46" s="147"/>
      <c r="AH46" s="147"/>
      <c r="AI46" s="147"/>
      <c r="AJ46" s="147"/>
      <c r="AK46" s="147"/>
      <c r="AL46" s="147"/>
      <c r="AM46" s="147"/>
      <c r="AN46" s="147"/>
    </row>
    <row r="47">
      <c r="A47" s="551" t="s">
        <v>987</v>
      </c>
      <c r="B47" s="637" t="s">
        <v>988</v>
      </c>
      <c r="C47" s="637" t="s">
        <v>988</v>
      </c>
      <c r="D47" s="637" t="s">
        <v>988</v>
      </c>
      <c r="E47" s="637" t="s">
        <v>988</v>
      </c>
      <c r="F47" s="637" t="s">
        <v>988</v>
      </c>
      <c r="G47" s="637" t="s">
        <v>988</v>
      </c>
      <c r="H47" s="637" t="s">
        <v>988</v>
      </c>
      <c r="I47" s="637" t="s">
        <v>988</v>
      </c>
      <c r="J47" s="637" t="s">
        <v>988</v>
      </c>
      <c r="K47" s="637" t="s">
        <v>988</v>
      </c>
      <c r="L47" s="637" t="s">
        <v>988</v>
      </c>
      <c r="M47" s="637" t="s">
        <v>988</v>
      </c>
      <c r="N47" s="637" t="s">
        <v>988</v>
      </c>
      <c r="O47" s="637" t="s">
        <v>988</v>
      </c>
      <c r="P47" s="637" t="s">
        <v>988</v>
      </c>
      <c r="Q47" s="637" t="s">
        <v>988</v>
      </c>
      <c r="R47" s="637" t="s">
        <v>988</v>
      </c>
      <c r="S47" s="637" t="s">
        <v>988</v>
      </c>
      <c r="T47" s="637" t="s">
        <v>988</v>
      </c>
      <c r="U47" s="637" t="s">
        <v>988</v>
      </c>
      <c r="V47" s="638"/>
      <c r="W47" s="638"/>
      <c r="X47" s="638"/>
      <c r="Y47" s="638"/>
      <c r="Z47" s="638"/>
      <c r="AA47" s="638"/>
      <c r="AB47" s="147"/>
      <c r="AC47" s="147"/>
      <c r="AD47" s="147"/>
      <c r="AE47" s="147"/>
      <c r="AF47" s="147"/>
      <c r="AG47" s="147"/>
      <c r="AH47" s="147"/>
      <c r="AI47" s="147"/>
      <c r="AJ47" s="147"/>
      <c r="AK47" s="147"/>
      <c r="AL47" s="147"/>
      <c r="AM47" s="147"/>
      <c r="AN47" s="147"/>
    </row>
    <row r="48">
      <c r="A48" s="126" t="s">
        <v>45</v>
      </c>
      <c r="B48" s="127" t="s">
        <v>989</v>
      </c>
      <c r="C48" s="128" t="s">
        <v>989</v>
      </c>
      <c r="D48" s="128" t="s">
        <v>989</v>
      </c>
      <c r="E48" s="128" t="s">
        <v>989</v>
      </c>
      <c r="F48" s="128" t="s">
        <v>989</v>
      </c>
      <c r="G48" s="128" t="s">
        <v>989</v>
      </c>
      <c r="H48" s="128" t="s">
        <v>989</v>
      </c>
      <c r="I48" s="128" t="s">
        <v>989</v>
      </c>
      <c r="J48" s="128" t="s">
        <v>989</v>
      </c>
      <c r="K48" s="128" t="s">
        <v>989</v>
      </c>
      <c r="L48" s="128" t="s">
        <v>989</v>
      </c>
      <c r="M48" s="128" t="s">
        <v>989</v>
      </c>
      <c r="N48" s="128" t="s">
        <v>989</v>
      </c>
      <c r="O48" s="128" t="s">
        <v>989</v>
      </c>
      <c r="P48" s="128" t="s">
        <v>989</v>
      </c>
      <c r="Q48" s="128" t="s">
        <v>989</v>
      </c>
      <c r="R48" s="128" t="s">
        <v>989</v>
      </c>
      <c r="S48" s="128" t="s">
        <v>989</v>
      </c>
      <c r="T48" s="548" t="s">
        <v>989</v>
      </c>
      <c r="U48" s="128" t="s">
        <v>989</v>
      </c>
      <c r="V48" s="128" t="s">
        <v>989</v>
      </c>
      <c r="W48" s="128" t="s">
        <v>989</v>
      </c>
      <c r="X48" s="128" t="s">
        <v>989</v>
      </c>
      <c r="Y48" s="128" t="s">
        <v>989</v>
      </c>
      <c r="Z48" s="128" t="s">
        <v>989</v>
      </c>
      <c r="AA48" s="128" t="s">
        <v>989</v>
      </c>
      <c r="AB48" s="128"/>
      <c r="AC48" s="128"/>
      <c r="AD48" s="130"/>
      <c r="AE48" s="130"/>
      <c r="AF48" s="130"/>
      <c r="AG48" s="130"/>
      <c r="AH48" s="130"/>
      <c r="AI48" s="130"/>
      <c r="AJ48" s="130"/>
      <c r="AK48" s="130"/>
      <c r="AL48" s="130"/>
      <c r="AM48" s="130"/>
      <c r="AN48" s="130"/>
    </row>
    <row r="49">
      <c r="A49" s="198" t="s">
        <v>990</v>
      </c>
      <c r="B49" s="132"/>
      <c r="C49" s="133"/>
      <c r="D49" s="133"/>
      <c r="E49" s="133"/>
      <c r="F49" s="133"/>
      <c r="G49" s="133"/>
      <c r="H49" s="133"/>
      <c r="I49" s="133"/>
      <c r="J49" s="133"/>
      <c r="K49" s="133"/>
      <c r="L49" s="133"/>
      <c r="M49" s="133">
        <v>5.0</v>
      </c>
      <c r="N49" s="133">
        <v>12.0</v>
      </c>
      <c r="O49" s="316"/>
      <c r="P49" s="316"/>
      <c r="Q49" s="316"/>
      <c r="R49" s="316"/>
      <c r="S49" s="316"/>
      <c r="T49" s="639"/>
      <c r="U49" s="639"/>
      <c r="V49" s="133"/>
      <c r="W49" s="133"/>
      <c r="X49" s="133"/>
      <c r="Y49" s="133"/>
      <c r="Z49" s="133"/>
      <c r="AA49" s="133"/>
      <c r="AB49" s="133"/>
      <c r="AC49" s="130"/>
      <c r="AD49" s="130"/>
      <c r="AE49" s="130"/>
      <c r="AF49" s="130"/>
      <c r="AG49" s="130"/>
      <c r="AH49" s="130"/>
      <c r="AI49" s="130"/>
      <c r="AJ49" s="130"/>
      <c r="AK49" s="130"/>
      <c r="AL49" s="130"/>
      <c r="AM49" s="130"/>
      <c r="AN49" s="130"/>
    </row>
    <row r="50">
      <c r="A50" s="196" t="s">
        <v>991</v>
      </c>
      <c r="B50" s="132">
        <v>36.0</v>
      </c>
      <c r="C50" s="133">
        <v>41.0</v>
      </c>
      <c r="D50" s="133">
        <v>39.0</v>
      </c>
      <c r="E50" s="133">
        <v>34.0</v>
      </c>
      <c r="F50" s="133">
        <v>18.0</v>
      </c>
      <c r="G50" s="133">
        <v>32.0</v>
      </c>
      <c r="H50" s="133">
        <v>34.0</v>
      </c>
      <c r="I50" s="133">
        <v>24.0</v>
      </c>
      <c r="J50" s="133">
        <v>29.0</v>
      </c>
      <c r="K50" s="133">
        <v>45.0</v>
      </c>
      <c r="L50" s="133">
        <v>43.0</v>
      </c>
      <c r="M50" s="133">
        <v>36.0</v>
      </c>
      <c r="N50" s="133">
        <v>37.0</v>
      </c>
      <c r="O50" s="316"/>
      <c r="P50" s="316"/>
      <c r="Q50" s="316"/>
      <c r="R50" s="316"/>
      <c r="S50" s="316"/>
      <c r="T50" s="640"/>
      <c r="U50" s="640"/>
      <c r="V50" s="133"/>
      <c r="W50" s="133"/>
      <c r="X50" s="133"/>
      <c r="Y50" s="133"/>
      <c r="Z50" s="133"/>
      <c r="AA50" s="133"/>
      <c r="AB50" s="133"/>
      <c r="AC50" s="130"/>
      <c r="AD50" s="130"/>
      <c r="AE50" s="130"/>
      <c r="AF50" s="130"/>
      <c r="AG50" s="130"/>
      <c r="AH50" s="130"/>
      <c r="AI50" s="130"/>
      <c r="AJ50" s="130"/>
      <c r="AK50" s="130"/>
      <c r="AL50" s="130"/>
      <c r="AM50" s="130"/>
      <c r="AN50" s="130"/>
    </row>
    <row r="51">
      <c r="A51" s="198" t="s">
        <v>992</v>
      </c>
      <c r="B51" s="132" t="s">
        <v>59</v>
      </c>
      <c r="C51" s="133">
        <v>44.0</v>
      </c>
      <c r="D51" s="133">
        <v>55.0</v>
      </c>
      <c r="E51" s="133">
        <v>54.0</v>
      </c>
      <c r="F51" s="133">
        <v>55.0</v>
      </c>
      <c r="G51" s="133">
        <v>57.0</v>
      </c>
      <c r="H51" s="133">
        <v>46.0</v>
      </c>
      <c r="I51" s="133">
        <v>16.0</v>
      </c>
      <c r="J51" s="133">
        <v>36.0</v>
      </c>
      <c r="K51" s="133">
        <v>49.0</v>
      </c>
      <c r="L51" s="133">
        <v>55.0</v>
      </c>
      <c r="M51" s="133">
        <v>53.0</v>
      </c>
      <c r="N51" s="133">
        <v>55.0</v>
      </c>
      <c r="O51" s="133">
        <v>55.0</v>
      </c>
      <c r="P51" s="133">
        <v>56.0</v>
      </c>
      <c r="Q51" s="133">
        <v>42.0</v>
      </c>
      <c r="R51" s="133">
        <v>50.0</v>
      </c>
      <c r="S51" s="133">
        <v>49.0</v>
      </c>
      <c r="T51" s="550">
        <v>51.0</v>
      </c>
      <c r="U51" s="133">
        <v>51.0</v>
      </c>
      <c r="V51" s="133"/>
      <c r="W51" s="133"/>
      <c r="X51" s="133"/>
      <c r="Y51" s="133"/>
      <c r="Z51" s="133"/>
      <c r="AA51" s="133"/>
      <c r="AB51" s="133"/>
      <c r="AC51" s="130"/>
      <c r="AD51" s="130"/>
      <c r="AE51" s="130"/>
      <c r="AF51" s="130"/>
      <c r="AG51" s="130"/>
      <c r="AH51" s="130"/>
      <c r="AI51" s="130"/>
      <c r="AJ51" s="130"/>
      <c r="AK51" s="130"/>
      <c r="AL51" s="130"/>
      <c r="AM51" s="130"/>
      <c r="AN51" s="130"/>
    </row>
    <row r="52">
      <c r="A52" s="198" t="s">
        <v>993</v>
      </c>
      <c r="B52" s="132">
        <v>42.0</v>
      </c>
      <c r="C52" s="133">
        <v>41.0</v>
      </c>
      <c r="D52" s="133">
        <v>10.0</v>
      </c>
      <c r="E52" s="133">
        <v>46.0</v>
      </c>
      <c r="F52" s="133">
        <v>49.0</v>
      </c>
      <c r="G52" s="133">
        <v>45.0</v>
      </c>
      <c r="H52" s="133">
        <v>42.0</v>
      </c>
      <c r="I52" s="133">
        <v>18.0</v>
      </c>
      <c r="J52" s="133">
        <v>34.0</v>
      </c>
      <c r="K52" s="133">
        <v>49.0</v>
      </c>
      <c r="L52" s="133">
        <v>49.0</v>
      </c>
      <c r="M52" s="133">
        <v>51.0</v>
      </c>
      <c r="N52" s="133">
        <v>43.0</v>
      </c>
      <c r="O52" s="316"/>
      <c r="P52" s="316"/>
      <c r="Q52" s="316"/>
      <c r="R52" s="316"/>
      <c r="S52" s="316"/>
      <c r="T52" s="640"/>
      <c r="U52" s="640"/>
      <c r="V52" s="133"/>
      <c r="W52" s="133"/>
      <c r="X52" s="133"/>
      <c r="Y52" s="133"/>
      <c r="Z52" s="133"/>
      <c r="AA52" s="133"/>
      <c r="AB52" s="133"/>
      <c r="AC52" s="130"/>
      <c r="AD52" s="130"/>
      <c r="AE52" s="130"/>
      <c r="AF52" s="130"/>
      <c r="AG52" s="130"/>
      <c r="AH52" s="130"/>
      <c r="AI52" s="130"/>
      <c r="AJ52" s="130"/>
      <c r="AK52" s="130"/>
      <c r="AL52" s="130"/>
      <c r="AM52" s="130"/>
      <c r="AN52" s="130"/>
    </row>
    <row r="53">
      <c r="A53" s="196" t="s">
        <v>994</v>
      </c>
      <c r="B53" s="132" t="s">
        <v>59</v>
      </c>
      <c r="C53" s="133" t="s">
        <v>59</v>
      </c>
      <c r="D53" s="133" t="s">
        <v>59</v>
      </c>
      <c r="E53" s="133">
        <v>8.0</v>
      </c>
      <c r="F53" s="130"/>
      <c r="G53" s="133"/>
      <c r="H53" s="133">
        <v>8.0</v>
      </c>
      <c r="I53" s="130"/>
      <c r="J53" s="133">
        <v>9.0</v>
      </c>
      <c r="K53" s="130"/>
      <c r="L53" s="133">
        <v>8.0</v>
      </c>
      <c r="M53" s="130"/>
      <c r="N53" s="130"/>
      <c r="O53" s="133" t="s">
        <v>59</v>
      </c>
      <c r="P53" s="133" t="s">
        <v>59</v>
      </c>
      <c r="Q53" s="133" t="s">
        <v>59</v>
      </c>
      <c r="R53" s="133" t="s">
        <v>59</v>
      </c>
      <c r="S53" s="133" t="s">
        <v>59</v>
      </c>
      <c r="T53" s="550" t="s">
        <v>59</v>
      </c>
      <c r="U53" s="133" t="s">
        <v>59</v>
      </c>
      <c r="V53" s="133"/>
      <c r="W53" s="133"/>
      <c r="X53" s="133"/>
      <c r="Y53" s="133"/>
      <c r="Z53" s="133"/>
      <c r="AA53" s="133"/>
      <c r="AB53" s="133"/>
      <c r="AC53" s="130"/>
      <c r="AD53" s="130"/>
      <c r="AE53" s="130"/>
      <c r="AF53" s="130"/>
      <c r="AG53" s="130"/>
      <c r="AH53" s="130"/>
      <c r="AI53" s="130"/>
      <c r="AJ53" s="130"/>
      <c r="AK53" s="130"/>
      <c r="AL53" s="130"/>
      <c r="AM53" s="130"/>
      <c r="AN53" s="130"/>
    </row>
    <row r="54">
      <c r="A54" s="196" t="s">
        <v>995</v>
      </c>
      <c r="B54" s="136">
        <v>42.0</v>
      </c>
      <c r="C54" s="133">
        <v>42.0</v>
      </c>
      <c r="D54" s="133">
        <v>45.0</v>
      </c>
      <c r="E54" s="133">
        <v>34.0</v>
      </c>
      <c r="F54" s="133">
        <v>40.0</v>
      </c>
      <c r="G54" s="133">
        <v>42.0</v>
      </c>
      <c r="H54" s="133">
        <v>23.0</v>
      </c>
      <c r="I54" s="133">
        <v>14.0</v>
      </c>
      <c r="J54" s="133">
        <v>45.0</v>
      </c>
      <c r="K54" s="133">
        <v>44.0</v>
      </c>
      <c r="L54" s="133">
        <v>44.0</v>
      </c>
      <c r="M54" s="133">
        <v>40.0</v>
      </c>
      <c r="N54" s="133">
        <v>46.0</v>
      </c>
      <c r="O54" s="133">
        <v>47.0</v>
      </c>
      <c r="P54" s="133">
        <v>52.0</v>
      </c>
      <c r="Q54" s="133">
        <v>39.0</v>
      </c>
      <c r="R54" s="133">
        <v>51.0</v>
      </c>
      <c r="S54" s="133">
        <v>43.0</v>
      </c>
      <c r="T54" s="550">
        <v>15.0</v>
      </c>
      <c r="U54" s="133">
        <v>40.0</v>
      </c>
      <c r="V54" s="133"/>
      <c r="W54" s="133"/>
      <c r="X54" s="133"/>
      <c r="Y54" s="133"/>
      <c r="Z54" s="133"/>
      <c r="AA54" s="133"/>
      <c r="AB54" s="133"/>
      <c r="AC54" s="130"/>
      <c r="AD54" s="130"/>
      <c r="AE54" s="130"/>
      <c r="AF54" s="130"/>
      <c r="AG54" s="130"/>
      <c r="AH54" s="130"/>
      <c r="AI54" s="130"/>
      <c r="AJ54" s="130"/>
      <c r="AK54" s="130"/>
      <c r="AL54" s="130"/>
      <c r="AM54" s="130"/>
      <c r="AN54" s="130"/>
    </row>
    <row r="55">
      <c r="A55" s="198" t="s">
        <v>996</v>
      </c>
      <c r="C55" s="133" t="s">
        <v>59</v>
      </c>
      <c r="D55" s="133">
        <v>5.0</v>
      </c>
      <c r="F55" s="130"/>
      <c r="G55" s="133"/>
      <c r="H55" s="130"/>
      <c r="I55" s="130"/>
      <c r="J55" s="130"/>
      <c r="K55" s="130"/>
      <c r="L55" s="130"/>
      <c r="M55" s="130"/>
      <c r="N55" s="130"/>
      <c r="O55" s="316"/>
      <c r="P55" s="316"/>
      <c r="Q55" s="316"/>
      <c r="R55" s="316"/>
      <c r="S55" s="316"/>
      <c r="T55" s="640"/>
      <c r="U55" s="640"/>
      <c r="V55" s="133"/>
      <c r="W55" s="133"/>
      <c r="X55" s="133"/>
      <c r="Y55" s="133"/>
      <c r="Z55" s="133"/>
      <c r="AA55" s="133"/>
      <c r="AB55" s="133"/>
      <c r="AC55" s="130"/>
      <c r="AD55" s="130"/>
      <c r="AE55" s="130"/>
      <c r="AF55" s="130"/>
      <c r="AG55" s="130"/>
      <c r="AH55" s="130"/>
      <c r="AI55" s="130"/>
      <c r="AJ55" s="130"/>
      <c r="AK55" s="130"/>
      <c r="AL55" s="130"/>
      <c r="AM55" s="130"/>
      <c r="AN55" s="130"/>
    </row>
    <row r="56">
      <c r="A56" s="198" t="s">
        <v>997</v>
      </c>
      <c r="B56" s="136">
        <v>15.0</v>
      </c>
      <c r="C56" s="133">
        <v>19.0</v>
      </c>
      <c r="D56" s="133">
        <v>24.0</v>
      </c>
      <c r="E56" s="133">
        <v>26.0</v>
      </c>
      <c r="F56" s="133">
        <v>23.0</v>
      </c>
      <c r="G56" s="133">
        <v>25.0</v>
      </c>
      <c r="H56" s="133">
        <v>27.0</v>
      </c>
      <c r="I56" s="133">
        <v>12.0</v>
      </c>
      <c r="J56" s="133">
        <v>25.0</v>
      </c>
      <c r="K56" s="133">
        <v>33.0</v>
      </c>
      <c r="L56" s="133">
        <v>33.0</v>
      </c>
      <c r="M56" s="133">
        <v>33.0</v>
      </c>
      <c r="N56" s="133">
        <v>26.0</v>
      </c>
      <c r="O56" s="133">
        <v>34.0</v>
      </c>
      <c r="P56" s="133">
        <v>32.0</v>
      </c>
      <c r="Q56" s="133">
        <v>31.0</v>
      </c>
      <c r="R56" s="133">
        <v>35.0</v>
      </c>
      <c r="S56" s="316"/>
      <c r="T56" s="640"/>
      <c r="U56" s="640"/>
      <c r="V56" s="133"/>
      <c r="W56" s="133"/>
      <c r="X56" s="133"/>
      <c r="Y56" s="133"/>
      <c r="Z56" s="133"/>
      <c r="AA56" s="133"/>
      <c r="AB56" s="133"/>
      <c r="AC56" s="130"/>
      <c r="AD56" s="130"/>
      <c r="AE56" s="130"/>
      <c r="AF56" s="130"/>
      <c r="AG56" s="130"/>
      <c r="AH56" s="130"/>
      <c r="AI56" s="130"/>
      <c r="AJ56" s="130"/>
      <c r="AK56" s="130"/>
      <c r="AL56" s="130"/>
      <c r="AM56" s="130"/>
      <c r="AN56" s="130"/>
    </row>
    <row r="57">
      <c r="A57" s="198" t="s">
        <v>998</v>
      </c>
      <c r="B57" s="136"/>
      <c r="C57" s="133"/>
      <c r="D57" s="133"/>
      <c r="E57" s="133"/>
      <c r="F57" s="133"/>
      <c r="G57" s="133"/>
      <c r="H57" s="133"/>
      <c r="I57" s="133"/>
      <c r="J57" s="133"/>
      <c r="K57" s="133"/>
      <c r="L57" s="133"/>
      <c r="M57" s="133">
        <v>5.0</v>
      </c>
      <c r="N57" s="133">
        <v>5.0</v>
      </c>
      <c r="O57" s="133">
        <v>23.0</v>
      </c>
      <c r="P57" s="133">
        <v>31.0</v>
      </c>
      <c r="Q57" s="133">
        <v>32.0</v>
      </c>
      <c r="R57" s="133">
        <v>39.0</v>
      </c>
      <c r="S57" s="133">
        <v>35.0</v>
      </c>
      <c r="T57" s="640"/>
      <c r="U57" s="640"/>
      <c r="V57" s="133"/>
      <c r="W57" s="133"/>
      <c r="X57" s="133"/>
      <c r="Y57" s="133"/>
      <c r="Z57" s="133"/>
      <c r="AA57" s="133"/>
      <c r="AB57" s="133"/>
      <c r="AC57" s="130"/>
      <c r="AD57" s="130"/>
      <c r="AE57" s="130"/>
      <c r="AF57" s="130"/>
      <c r="AG57" s="130"/>
      <c r="AH57" s="130"/>
      <c r="AI57" s="130"/>
      <c r="AJ57" s="130"/>
      <c r="AK57" s="130"/>
      <c r="AL57" s="130"/>
      <c r="AM57" s="130"/>
      <c r="AN57" s="130"/>
    </row>
    <row r="58">
      <c r="A58" s="126" t="s">
        <v>46</v>
      </c>
      <c r="B58" s="127"/>
      <c r="C58" s="128"/>
      <c r="D58" s="128"/>
      <c r="E58" s="128"/>
      <c r="F58" s="128"/>
      <c r="G58" s="128"/>
      <c r="H58" s="128"/>
      <c r="I58" s="128"/>
      <c r="J58" s="128"/>
      <c r="K58" s="128"/>
      <c r="L58" s="128"/>
      <c r="M58" s="128"/>
      <c r="N58" s="128"/>
      <c r="O58" s="128"/>
      <c r="P58" s="128"/>
      <c r="Q58" s="128"/>
      <c r="R58" s="128"/>
      <c r="S58" s="128"/>
      <c r="T58" s="548"/>
      <c r="U58" s="128"/>
      <c r="V58" s="128"/>
      <c r="W58" s="128"/>
      <c r="X58" s="128"/>
      <c r="Y58" s="128"/>
      <c r="Z58" s="128"/>
      <c r="AA58" s="128"/>
      <c r="AB58" s="128"/>
      <c r="AC58" s="128"/>
      <c r="AD58" s="130"/>
      <c r="AE58" s="130"/>
      <c r="AF58" s="130"/>
      <c r="AG58" s="130"/>
      <c r="AH58" s="130"/>
      <c r="AI58" s="130"/>
      <c r="AJ58" s="130"/>
      <c r="AK58" s="130"/>
      <c r="AL58" s="130"/>
      <c r="AM58" s="130"/>
      <c r="AN58" s="130"/>
    </row>
    <row r="59">
      <c r="A59" s="198" t="s">
        <v>990</v>
      </c>
      <c r="B59" s="132"/>
      <c r="C59" s="133"/>
      <c r="D59" s="133"/>
      <c r="E59" s="133"/>
      <c r="F59" s="133"/>
      <c r="G59" s="133"/>
      <c r="H59" s="133"/>
      <c r="I59" s="133"/>
      <c r="J59" s="133"/>
      <c r="K59" s="133"/>
      <c r="L59" s="133"/>
      <c r="M59" s="133">
        <v>5.0</v>
      </c>
      <c r="N59" s="133">
        <v>7.0</v>
      </c>
      <c r="O59" s="317"/>
      <c r="P59" s="317"/>
      <c r="Q59" s="316"/>
      <c r="R59" s="316"/>
      <c r="S59" s="316"/>
      <c r="T59" s="640"/>
      <c r="U59" s="640"/>
      <c r="V59" s="133"/>
      <c r="W59" s="133"/>
      <c r="X59" s="133"/>
      <c r="Y59" s="133"/>
      <c r="Z59" s="133"/>
      <c r="AA59" s="133"/>
      <c r="AB59" s="130"/>
      <c r="AC59" s="130"/>
      <c r="AD59" s="130"/>
      <c r="AE59" s="130"/>
      <c r="AF59" s="130"/>
      <c r="AG59" s="130"/>
      <c r="AH59" s="130"/>
      <c r="AI59" s="130"/>
      <c r="AJ59" s="130"/>
      <c r="AK59" s="130"/>
      <c r="AL59" s="130"/>
      <c r="AM59" s="130"/>
      <c r="AN59" s="130"/>
    </row>
    <row r="60">
      <c r="A60" s="196" t="s">
        <v>991</v>
      </c>
      <c r="B60" s="132">
        <v>36.0</v>
      </c>
      <c r="C60" s="133">
        <v>43.0</v>
      </c>
      <c r="D60" s="133">
        <v>39.0</v>
      </c>
      <c r="E60" s="133">
        <v>39.0</v>
      </c>
      <c r="F60" s="133">
        <v>18.0</v>
      </c>
      <c r="G60" s="133">
        <v>30.0</v>
      </c>
      <c r="H60" s="133">
        <v>38.0</v>
      </c>
      <c r="I60" s="133">
        <v>25.0</v>
      </c>
      <c r="J60" s="133">
        <v>32.0</v>
      </c>
      <c r="K60" s="133">
        <v>34.0</v>
      </c>
      <c r="L60" s="133">
        <v>49.0</v>
      </c>
      <c r="M60" s="133">
        <v>36.0</v>
      </c>
      <c r="N60" s="133">
        <v>41.0</v>
      </c>
      <c r="O60" s="317"/>
      <c r="P60" s="317"/>
      <c r="Q60" s="316"/>
      <c r="R60" s="316"/>
      <c r="S60" s="316"/>
      <c r="T60" s="640"/>
      <c r="U60" s="640"/>
      <c r="V60" s="133"/>
      <c r="W60" s="133"/>
      <c r="X60" s="133"/>
      <c r="Y60" s="133"/>
      <c r="Z60" s="133"/>
      <c r="AA60" s="133"/>
      <c r="AB60" s="130"/>
      <c r="AC60" s="130"/>
      <c r="AD60" s="130"/>
      <c r="AE60" s="130"/>
      <c r="AF60" s="130"/>
      <c r="AG60" s="130"/>
      <c r="AH60" s="130"/>
      <c r="AI60" s="130"/>
      <c r="AJ60" s="130"/>
      <c r="AK60" s="130"/>
      <c r="AL60" s="130"/>
      <c r="AM60" s="130"/>
      <c r="AN60" s="130"/>
    </row>
    <row r="61">
      <c r="A61" s="198" t="s">
        <v>992</v>
      </c>
      <c r="B61" s="132" t="s">
        <v>59</v>
      </c>
      <c r="C61" s="133">
        <v>18.0</v>
      </c>
      <c r="D61" s="133">
        <v>60.0</v>
      </c>
      <c r="E61" s="133">
        <v>55.0</v>
      </c>
      <c r="F61" s="133">
        <v>70.0</v>
      </c>
      <c r="G61" s="133">
        <v>49.0</v>
      </c>
      <c r="H61" s="133">
        <v>35.0</v>
      </c>
      <c r="I61" s="133">
        <v>16.0</v>
      </c>
      <c r="J61" s="133">
        <v>26.0</v>
      </c>
      <c r="K61" s="133">
        <v>31.0</v>
      </c>
      <c r="L61" s="133">
        <v>55.0</v>
      </c>
      <c r="M61" s="133">
        <v>45.0</v>
      </c>
      <c r="N61" s="133">
        <v>51.0</v>
      </c>
      <c r="O61" s="133">
        <v>55.0</v>
      </c>
      <c r="P61" s="133">
        <v>48.0</v>
      </c>
      <c r="Q61" s="133">
        <v>43.0</v>
      </c>
      <c r="R61" s="133">
        <v>47.0</v>
      </c>
      <c r="S61" s="133">
        <v>47.0</v>
      </c>
      <c r="T61" s="550">
        <v>51.0</v>
      </c>
      <c r="U61" s="133">
        <v>28.0</v>
      </c>
      <c r="V61" s="130"/>
      <c r="W61" s="130"/>
      <c r="X61" s="130"/>
      <c r="Y61" s="130"/>
      <c r="Z61" s="130"/>
      <c r="AA61" s="130"/>
      <c r="AB61" s="130"/>
      <c r="AC61" s="130"/>
      <c r="AD61" s="130"/>
      <c r="AE61" s="130"/>
      <c r="AF61" s="130"/>
      <c r="AG61" s="130"/>
      <c r="AH61" s="130"/>
      <c r="AI61" s="130"/>
      <c r="AJ61" s="130"/>
      <c r="AK61" s="130"/>
      <c r="AL61" s="130"/>
      <c r="AM61" s="130"/>
      <c r="AN61" s="130"/>
    </row>
    <row r="62">
      <c r="A62" s="198" t="s">
        <v>993</v>
      </c>
      <c r="B62" s="137">
        <v>36.0</v>
      </c>
      <c r="C62" s="133">
        <v>26.0</v>
      </c>
      <c r="D62" s="133">
        <v>19.0</v>
      </c>
      <c r="E62" s="133">
        <v>19.0</v>
      </c>
      <c r="F62" s="133">
        <v>39.0</v>
      </c>
      <c r="G62" s="133">
        <v>26.0</v>
      </c>
      <c r="H62" s="133">
        <v>33.0</v>
      </c>
      <c r="I62" s="133">
        <v>18.0</v>
      </c>
      <c r="J62" s="133">
        <v>7.0</v>
      </c>
      <c r="K62" s="133">
        <v>23.0</v>
      </c>
      <c r="L62" s="133">
        <v>50.0</v>
      </c>
      <c r="M62" s="133">
        <v>25.0</v>
      </c>
      <c r="N62" s="133">
        <v>48.0</v>
      </c>
      <c r="O62" s="317"/>
      <c r="P62" s="317"/>
      <c r="Q62" s="316"/>
      <c r="R62" s="316"/>
      <c r="S62" s="316"/>
      <c r="T62" s="640"/>
      <c r="U62" s="640"/>
      <c r="V62" s="130"/>
      <c r="W62" s="130"/>
      <c r="X62" s="130"/>
      <c r="Y62" s="130"/>
      <c r="Z62" s="130"/>
      <c r="AA62" s="130"/>
      <c r="AB62" s="130"/>
      <c r="AC62" s="130"/>
      <c r="AD62" s="130"/>
      <c r="AE62" s="130"/>
      <c r="AF62" s="130"/>
      <c r="AG62" s="130"/>
      <c r="AH62" s="130"/>
      <c r="AI62" s="130"/>
      <c r="AJ62" s="130"/>
      <c r="AK62" s="130"/>
      <c r="AL62" s="130"/>
      <c r="AM62" s="130"/>
      <c r="AN62" s="130"/>
    </row>
    <row r="63">
      <c r="A63" s="196" t="s">
        <v>994</v>
      </c>
      <c r="B63" s="137" t="s">
        <v>59</v>
      </c>
      <c r="C63" s="133" t="s">
        <v>59</v>
      </c>
      <c r="D63" s="133" t="s">
        <v>59</v>
      </c>
      <c r="E63" s="133">
        <v>0.0</v>
      </c>
      <c r="F63" s="133"/>
      <c r="G63" s="133"/>
      <c r="H63" s="133">
        <v>8.0</v>
      </c>
      <c r="I63" s="133"/>
      <c r="J63" s="133">
        <v>9.0</v>
      </c>
      <c r="K63" s="133"/>
      <c r="L63" s="133">
        <v>10.0</v>
      </c>
      <c r="M63" s="133"/>
      <c r="N63" s="133"/>
      <c r="O63" s="133">
        <v>3.0</v>
      </c>
      <c r="P63" s="133" t="s">
        <v>59</v>
      </c>
      <c r="Q63" s="133" t="s">
        <v>59</v>
      </c>
      <c r="R63" s="133" t="s">
        <v>59</v>
      </c>
      <c r="S63" s="133" t="s">
        <v>59</v>
      </c>
      <c r="T63" s="550" t="s">
        <v>59</v>
      </c>
      <c r="U63" s="133" t="s">
        <v>59</v>
      </c>
      <c r="V63" s="133"/>
      <c r="W63" s="133"/>
      <c r="X63" s="133"/>
      <c r="Y63" s="133"/>
      <c r="Z63" s="133"/>
      <c r="AA63" s="133"/>
      <c r="AB63" s="130"/>
      <c r="AC63" s="130"/>
      <c r="AD63" s="130"/>
      <c r="AE63" s="130"/>
      <c r="AF63" s="130"/>
      <c r="AG63" s="130"/>
      <c r="AH63" s="130"/>
      <c r="AI63" s="130"/>
      <c r="AJ63" s="130"/>
      <c r="AK63" s="130"/>
      <c r="AL63" s="130"/>
      <c r="AM63" s="130"/>
      <c r="AN63" s="130"/>
    </row>
    <row r="64">
      <c r="A64" s="198" t="s">
        <v>999</v>
      </c>
      <c r="B64" s="137">
        <v>45.0</v>
      </c>
      <c r="C64" s="133">
        <v>42.0</v>
      </c>
      <c r="D64" s="133">
        <v>46.0</v>
      </c>
      <c r="E64" s="133">
        <v>42.0</v>
      </c>
      <c r="F64" s="133">
        <v>40.0</v>
      </c>
      <c r="G64" s="133">
        <v>43.0</v>
      </c>
      <c r="H64" s="133">
        <v>27.0</v>
      </c>
      <c r="I64" s="133">
        <v>16.0</v>
      </c>
      <c r="J64" s="133">
        <v>45.0</v>
      </c>
      <c r="K64" s="133">
        <v>47.0</v>
      </c>
      <c r="L64" s="133">
        <v>44.0</v>
      </c>
      <c r="M64" s="133">
        <v>40.0</v>
      </c>
      <c r="N64" s="133">
        <v>48.0</v>
      </c>
      <c r="O64" s="133">
        <v>47.0</v>
      </c>
      <c r="P64" s="133">
        <v>61.0</v>
      </c>
      <c r="Q64" s="133">
        <v>44.0</v>
      </c>
      <c r="R64" s="133">
        <v>52.0</v>
      </c>
      <c r="S64" s="133">
        <v>39.0</v>
      </c>
      <c r="T64" s="550">
        <v>18.0</v>
      </c>
      <c r="U64" s="133">
        <v>43.0</v>
      </c>
      <c r="V64" s="133"/>
      <c r="W64" s="133"/>
      <c r="X64" s="133"/>
      <c r="Y64" s="133"/>
      <c r="Z64" s="133"/>
      <c r="AA64" s="133"/>
      <c r="AB64" s="130"/>
      <c r="AC64" s="130"/>
      <c r="AD64" s="130"/>
      <c r="AE64" s="130"/>
      <c r="AF64" s="130"/>
      <c r="AG64" s="130"/>
      <c r="AH64" s="130"/>
      <c r="AI64" s="130"/>
      <c r="AJ64" s="130"/>
      <c r="AK64" s="130"/>
      <c r="AL64" s="130"/>
      <c r="AM64" s="130"/>
      <c r="AN64" s="130"/>
    </row>
    <row r="65">
      <c r="A65" s="198" t="s">
        <v>996</v>
      </c>
      <c r="B65" s="137">
        <v>7.0</v>
      </c>
      <c r="C65" s="133">
        <v>2.0</v>
      </c>
      <c r="D65" s="133">
        <v>5.0</v>
      </c>
      <c r="F65" s="133">
        <v>5.0</v>
      </c>
      <c r="G65" s="133"/>
      <c r="H65" s="133">
        <v>2.0</v>
      </c>
      <c r="J65" s="133"/>
      <c r="K65" s="133"/>
      <c r="M65" s="133"/>
      <c r="N65" s="133"/>
      <c r="O65" s="317"/>
      <c r="P65" s="317"/>
      <c r="Q65" s="316"/>
      <c r="R65" s="316"/>
      <c r="S65" s="316"/>
      <c r="T65" s="640"/>
      <c r="U65" s="640"/>
      <c r="V65" s="133"/>
      <c r="W65" s="133"/>
      <c r="X65" s="133"/>
      <c r="Y65" s="133"/>
      <c r="Z65" s="133"/>
      <c r="AA65" s="133"/>
      <c r="AB65" s="130"/>
      <c r="AC65" s="130"/>
      <c r="AD65" s="130"/>
      <c r="AE65" s="130"/>
      <c r="AF65" s="130"/>
      <c r="AG65" s="130"/>
      <c r="AH65" s="130"/>
      <c r="AI65" s="130"/>
      <c r="AJ65" s="130"/>
      <c r="AK65" s="130"/>
      <c r="AL65" s="130"/>
      <c r="AM65" s="130"/>
      <c r="AN65" s="130"/>
    </row>
    <row r="66">
      <c r="A66" s="198" t="s">
        <v>1000</v>
      </c>
      <c r="B66" s="137">
        <v>16.0</v>
      </c>
      <c r="C66" s="133">
        <v>19.0</v>
      </c>
      <c r="D66" s="133">
        <v>14.0</v>
      </c>
      <c r="E66" s="133">
        <v>16.0</v>
      </c>
      <c r="F66" s="133">
        <v>14.0</v>
      </c>
      <c r="G66" s="133">
        <v>10.0</v>
      </c>
      <c r="H66" s="133">
        <v>16.0</v>
      </c>
      <c r="I66" s="133">
        <v>12.0</v>
      </c>
      <c r="J66" s="133">
        <v>25.0</v>
      </c>
      <c r="K66" s="133">
        <v>12.0</v>
      </c>
      <c r="L66" s="133">
        <v>23.0</v>
      </c>
      <c r="M66" s="133">
        <v>30.0</v>
      </c>
      <c r="N66" s="133">
        <v>18.0</v>
      </c>
      <c r="O66" s="133">
        <v>33.0</v>
      </c>
      <c r="P66" s="133">
        <v>31.0</v>
      </c>
      <c r="Q66" s="133">
        <v>36.0</v>
      </c>
      <c r="R66" s="133">
        <v>14.0</v>
      </c>
      <c r="S66" s="316"/>
      <c r="T66" s="640"/>
      <c r="U66" s="640"/>
      <c r="V66" s="133"/>
      <c r="W66" s="133"/>
      <c r="X66" s="133"/>
      <c r="Y66" s="133"/>
      <c r="Z66" s="133"/>
      <c r="AA66" s="133"/>
      <c r="AB66" s="130"/>
      <c r="AC66" s="130"/>
      <c r="AD66" s="130"/>
      <c r="AE66" s="130"/>
      <c r="AF66" s="130"/>
      <c r="AG66" s="130"/>
      <c r="AH66" s="130"/>
      <c r="AI66" s="130"/>
      <c r="AJ66" s="130"/>
      <c r="AK66" s="130"/>
      <c r="AL66" s="130"/>
      <c r="AM66" s="130"/>
      <c r="AN66" s="130"/>
    </row>
    <row r="67">
      <c r="A67" s="198" t="s">
        <v>998</v>
      </c>
      <c r="B67" s="137"/>
      <c r="C67" s="133"/>
      <c r="D67" s="133"/>
      <c r="E67" s="133"/>
      <c r="F67" s="133"/>
      <c r="G67" s="133"/>
      <c r="H67" s="133"/>
      <c r="I67" s="133"/>
      <c r="J67" s="133"/>
      <c r="K67" s="133"/>
      <c r="L67" s="133"/>
      <c r="M67" s="133"/>
      <c r="N67" s="133">
        <v>8.0</v>
      </c>
      <c r="O67" s="133">
        <v>23.0</v>
      </c>
      <c r="P67" s="133">
        <v>35.0</v>
      </c>
      <c r="Q67" s="133">
        <v>24.0</v>
      </c>
      <c r="R67" s="133">
        <v>39.0</v>
      </c>
      <c r="S67" s="133">
        <v>27.0</v>
      </c>
      <c r="T67" s="640"/>
      <c r="U67" s="640"/>
      <c r="V67" s="133"/>
      <c r="W67" s="133"/>
      <c r="X67" s="133"/>
      <c r="Y67" s="133"/>
      <c r="Z67" s="133"/>
      <c r="AA67" s="133"/>
      <c r="AB67" s="130"/>
      <c r="AC67" s="130"/>
      <c r="AD67" s="130"/>
      <c r="AE67" s="130"/>
      <c r="AF67" s="130"/>
      <c r="AG67" s="130"/>
      <c r="AH67" s="130"/>
      <c r="AI67" s="130"/>
      <c r="AJ67" s="130"/>
      <c r="AK67" s="130"/>
      <c r="AL67" s="130"/>
      <c r="AM67" s="130"/>
      <c r="AN67" s="130"/>
    </row>
    <row r="68">
      <c r="B68" s="138"/>
      <c r="T68" s="518"/>
    </row>
    <row r="69">
      <c r="B69" s="138"/>
      <c r="T69" s="518"/>
    </row>
    <row r="70">
      <c r="A70" s="199" t="s">
        <v>1001</v>
      </c>
      <c r="B70" s="453">
        <f t="shared" ref="B70:K70" si="11">AVERAGE(B50:B56)</f>
        <v>33.75</v>
      </c>
      <c r="C70" s="453">
        <f t="shared" si="11"/>
        <v>37.4</v>
      </c>
      <c r="D70" s="453">
        <f t="shared" si="11"/>
        <v>29.66666667</v>
      </c>
      <c r="E70" s="453">
        <f t="shared" si="11"/>
        <v>33.66666667</v>
      </c>
      <c r="F70" s="453">
        <f t="shared" si="11"/>
        <v>37</v>
      </c>
      <c r="G70" s="453">
        <f t="shared" si="11"/>
        <v>40.2</v>
      </c>
      <c r="H70" s="453">
        <f t="shared" si="11"/>
        <v>30</v>
      </c>
      <c r="I70" s="453">
        <f t="shared" si="11"/>
        <v>16.8</v>
      </c>
      <c r="J70" s="453">
        <f t="shared" si="11"/>
        <v>29.66666667</v>
      </c>
      <c r="K70" s="453">
        <f t="shared" si="11"/>
        <v>44</v>
      </c>
      <c r="T70" s="518"/>
    </row>
    <row r="71">
      <c r="A71" s="199" t="s">
        <v>1002</v>
      </c>
      <c r="B71" s="453">
        <f t="shared" ref="B71:K71" si="12">SUM(B50:B56)</f>
        <v>135</v>
      </c>
      <c r="C71" s="453">
        <f t="shared" si="12"/>
        <v>187</v>
      </c>
      <c r="D71" s="453">
        <f t="shared" si="12"/>
        <v>178</v>
      </c>
      <c r="E71" s="453">
        <f t="shared" si="12"/>
        <v>202</v>
      </c>
      <c r="F71" s="453">
        <f t="shared" si="12"/>
        <v>185</v>
      </c>
      <c r="G71" s="453">
        <f t="shared" si="12"/>
        <v>201</v>
      </c>
      <c r="H71" s="453">
        <f t="shared" si="12"/>
        <v>180</v>
      </c>
      <c r="I71" s="453">
        <f t="shared" si="12"/>
        <v>84</v>
      </c>
      <c r="J71" s="453">
        <f t="shared" si="12"/>
        <v>178</v>
      </c>
      <c r="K71" s="453">
        <f t="shared" si="12"/>
        <v>220</v>
      </c>
      <c r="T71" s="518"/>
    </row>
    <row r="72">
      <c r="B72" s="138"/>
      <c r="T72" s="518"/>
    </row>
    <row r="73">
      <c r="A73" s="641">
        <v>0.1</v>
      </c>
      <c r="B73" s="138">
        <f t="shared" ref="B73:K73" si="13">B71*10/100</f>
        <v>13.5</v>
      </c>
      <c r="C73" s="138">
        <f t="shared" si="13"/>
        <v>18.7</v>
      </c>
      <c r="D73" s="138">
        <f t="shared" si="13"/>
        <v>17.8</v>
      </c>
      <c r="E73" s="138">
        <f t="shared" si="13"/>
        <v>20.2</v>
      </c>
      <c r="F73" s="138">
        <f t="shared" si="13"/>
        <v>18.5</v>
      </c>
      <c r="G73" s="138">
        <f t="shared" si="13"/>
        <v>20.1</v>
      </c>
      <c r="H73" s="138">
        <f t="shared" si="13"/>
        <v>18</v>
      </c>
      <c r="I73" s="138">
        <f t="shared" si="13"/>
        <v>8.4</v>
      </c>
      <c r="J73" s="138">
        <f t="shared" si="13"/>
        <v>17.8</v>
      </c>
      <c r="K73" s="138">
        <f t="shared" si="13"/>
        <v>22</v>
      </c>
      <c r="T73" s="518"/>
    </row>
    <row r="74">
      <c r="B74" s="138"/>
      <c r="T74" s="518"/>
    </row>
    <row r="75">
      <c r="A75" s="642" t="s">
        <v>1003</v>
      </c>
      <c r="B75" s="110"/>
      <c r="C75" s="110"/>
      <c r="D75" s="110"/>
      <c r="E75" s="110"/>
      <c r="F75" s="110"/>
      <c r="G75" s="110"/>
      <c r="H75" s="110"/>
      <c r="I75" s="110"/>
      <c r="J75" s="643">
        <v>122.0</v>
      </c>
      <c r="K75" s="110"/>
      <c r="L75" s="110"/>
      <c r="M75" s="110"/>
      <c r="N75" s="110"/>
      <c r="O75" s="110"/>
      <c r="P75" s="110"/>
      <c r="Q75" s="110"/>
      <c r="R75" s="110"/>
      <c r="S75" s="110"/>
      <c r="T75" s="598"/>
      <c r="U75" s="110"/>
      <c r="V75" s="110"/>
      <c r="W75" s="110"/>
      <c r="X75" s="110"/>
      <c r="Y75" s="110"/>
      <c r="Z75" s="110"/>
      <c r="AA75" s="110"/>
      <c r="AB75" s="112"/>
      <c r="AC75" s="113"/>
      <c r="AD75" s="113"/>
      <c r="AE75" s="113"/>
      <c r="AF75" s="113"/>
      <c r="AG75" s="113"/>
      <c r="AH75" s="113"/>
      <c r="AI75" s="113"/>
      <c r="AJ75" s="113"/>
      <c r="AK75" s="113"/>
      <c r="AL75" s="113"/>
      <c r="AM75" s="113"/>
      <c r="AN75" s="113"/>
    </row>
    <row r="76">
      <c r="A76" s="642" t="s">
        <v>1004</v>
      </c>
      <c r="B76" s="110"/>
      <c r="C76" s="110"/>
      <c r="D76" s="110"/>
      <c r="E76" s="110"/>
      <c r="F76" s="110"/>
      <c r="G76" s="110"/>
      <c r="H76" s="110"/>
      <c r="I76" s="110"/>
      <c r="J76" s="110">
        <f>IFERROR(J75/J18, 0)</f>
        <v>0.8531468531</v>
      </c>
      <c r="K76" s="110"/>
      <c r="L76" s="110"/>
      <c r="M76" s="110"/>
      <c r="N76" s="110"/>
      <c r="O76" s="110"/>
      <c r="P76" s="110"/>
      <c r="Q76" s="110"/>
      <c r="R76" s="110"/>
      <c r="S76" s="110"/>
      <c r="T76" s="598"/>
      <c r="U76" s="110"/>
      <c r="V76" s="110"/>
      <c r="W76" s="110"/>
      <c r="X76" s="110"/>
      <c r="Y76" s="110"/>
      <c r="Z76" s="110"/>
      <c r="AA76" s="110"/>
      <c r="AB76" s="112"/>
      <c r="AC76" s="113"/>
      <c r="AD76" s="113"/>
      <c r="AE76" s="113"/>
      <c r="AF76" s="113"/>
      <c r="AG76" s="113"/>
      <c r="AH76" s="113"/>
      <c r="AI76" s="113"/>
      <c r="AJ76" s="113"/>
      <c r="AK76" s="113"/>
      <c r="AL76" s="113"/>
      <c r="AM76" s="113"/>
      <c r="AN76" s="113"/>
    </row>
    <row r="77">
      <c r="B77" s="138"/>
      <c r="T77" s="518"/>
    </row>
    <row r="78">
      <c r="B78" s="138"/>
      <c r="T78" s="518"/>
    </row>
    <row r="79">
      <c r="A79" s="262" t="s">
        <v>1005</v>
      </c>
      <c r="B79" s="127"/>
      <c r="C79" s="128"/>
      <c r="D79" s="128"/>
      <c r="E79" s="128"/>
      <c r="F79" s="128"/>
      <c r="G79" s="128"/>
      <c r="H79" s="128"/>
      <c r="I79" s="128"/>
      <c r="J79" s="128"/>
      <c r="K79" s="128"/>
      <c r="L79" s="128"/>
      <c r="M79" s="128"/>
      <c r="N79" s="128"/>
      <c r="O79" s="128"/>
      <c r="P79" s="128"/>
      <c r="Q79" s="128"/>
      <c r="R79" s="128"/>
      <c r="S79" s="128"/>
      <c r="T79" s="548"/>
      <c r="U79" s="128"/>
      <c r="V79" s="128"/>
      <c r="W79" s="128"/>
      <c r="X79" s="128"/>
      <c r="Y79" s="128"/>
      <c r="Z79" s="128"/>
      <c r="AA79" s="128"/>
      <c r="AB79" s="128"/>
      <c r="AC79" s="128"/>
      <c r="AD79" s="130"/>
      <c r="AE79" s="130"/>
      <c r="AF79" s="130"/>
      <c r="AG79" s="130"/>
      <c r="AH79" s="130"/>
      <c r="AI79" s="130"/>
      <c r="AJ79" s="130"/>
      <c r="AK79" s="130"/>
      <c r="AL79" s="130"/>
      <c r="AM79" s="130"/>
      <c r="AN79" s="130"/>
    </row>
    <row r="80">
      <c r="A80" s="196" t="s">
        <v>991</v>
      </c>
      <c r="B80" s="133">
        <f t="shared" ref="B80:R80" si="14">B60*100/B50</f>
        <v>100</v>
      </c>
      <c r="C80" s="644">
        <f t="shared" si="14"/>
        <v>104.8780488</v>
      </c>
      <c r="D80" s="133">
        <f t="shared" si="14"/>
        <v>100</v>
      </c>
      <c r="E80" s="644">
        <f t="shared" si="14"/>
        <v>114.7058824</v>
      </c>
      <c r="F80" s="644">
        <f t="shared" si="14"/>
        <v>100</v>
      </c>
      <c r="G80" s="644">
        <f t="shared" si="14"/>
        <v>93.75</v>
      </c>
      <c r="H80" s="644">
        <f t="shared" si="14"/>
        <v>111.7647059</v>
      </c>
      <c r="I80" s="644">
        <f t="shared" si="14"/>
        <v>104.1666667</v>
      </c>
      <c r="J80" s="644">
        <f t="shared" si="14"/>
        <v>110.3448276</v>
      </c>
      <c r="K80" s="644">
        <f t="shared" si="14"/>
        <v>75.55555556</v>
      </c>
      <c r="L80" s="644">
        <f t="shared" si="14"/>
        <v>113.9534884</v>
      </c>
      <c r="M80" s="644">
        <f t="shared" si="14"/>
        <v>100</v>
      </c>
      <c r="N80" s="644">
        <f t="shared" si="14"/>
        <v>110.8108108</v>
      </c>
      <c r="O80" s="645" t="str">
        <f t="shared" si="14"/>
        <v>#DIV/0!</v>
      </c>
      <c r="P80" s="645" t="str">
        <f t="shared" si="14"/>
        <v>#DIV/0!</v>
      </c>
      <c r="Q80" s="645" t="str">
        <f t="shared" si="14"/>
        <v>#DIV/0!</v>
      </c>
      <c r="R80" s="645" t="str">
        <f t="shared" si="14"/>
        <v>#DIV/0!</v>
      </c>
      <c r="S80" s="645"/>
      <c r="T80" s="646"/>
      <c r="U80" s="133"/>
      <c r="V80" s="133"/>
      <c r="W80" s="133"/>
      <c r="X80" s="133"/>
      <c r="Y80" s="133"/>
      <c r="Z80" s="133"/>
      <c r="AA80" s="133"/>
      <c r="AB80" s="133"/>
      <c r="AC80" s="130"/>
      <c r="AD80" s="130"/>
      <c r="AE80" s="130"/>
      <c r="AF80" s="130"/>
      <c r="AG80" s="130"/>
      <c r="AH80" s="130"/>
      <c r="AI80" s="130"/>
      <c r="AJ80" s="130"/>
      <c r="AK80" s="130"/>
      <c r="AL80" s="130"/>
      <c r="AM80" s="130"/>
      <c r="AN80" s="130"/>
    </row>
    <row r="81">
      <c r="A81" s="198" t="s">
        <v>992</v>
      </c>
      <c r="B81" s="644"/>
      <c r="C81" s="644">
        <f t="shared" ref="C81:T81" si="15">C61*100/C51</f>
        <v>40.90909091</v>
      </c>
      <c r="D81" s="644">
        <f t="shared" si="15"/>
        <v>109.0909091</v>
      </c>
      <c r="E81" s="644">
        <f t="shared" si="15"/>
        <v>101.8518519</v>
      </c>
      <c r="F81" s="644">
        <f t="shared" si="15"/>
        <v>127.2727273</v>
      </c>
      <c r="G81" s="644">
        <f t="shared" si="15"/>
        <v>85.96491228</v>
      </c>
      <c r="H81" s="644">
        <f t="shared" si="15"/>
        <v>76.08695652</v>
      </c>
      <c r="I81" s="644">
        <f t="shared" si="15"/>
        <v>100</v>
      </c>
      <c r="J81" s="644">
        <f t="shared" si="15"/>
        <v>72.22222222</v>
      </c>
      <c r="K81" s="644">
        <f t="shared" si="15"/>
        <v>63.26530612</v>
      </c>
      <c r="L81" s="644">
        <f t="shared" si="15"/>
        <v>100</v>
      </c>
      <c r="M81" s="644">
        <f t="shared" si="15"/>
        <v>84.90566038</v>
      </c>
      <c r="N81" s="644">
        <f t="shared" si="15"/>
        <v>92.72727273</v>
      </c>
      <c r="O81" s="644">
        <f t="shared" si="15"/>
        <v>100</v>
      </c>
      <c r="P81" s="644">
        <f t="shared" si="15"/>
        <v>85.71428571</v>
      </c>
      <c r="Q81" s="644">
        <f t="shared" si="15"/>
        <v>102.3809524</v>
      </c>
      <c r="R81" s="644">
        <f t="shared" si="15"/>
        <v>94</v>
      </c>
      <c r="S81" s="644">
        <f t="shared" si="15"/>
        <v>95.91836735</v>
      </c>
      <c r="T81" s="647">
        <f t="shared" si="15"/>
        <v>100</v>
      </c>
      <c r="U81" s="133"/>
      <c r="V81" s="133"/>
      <c r="W81" s="133"/>
      <c r="X81" s="133"/>
      <c r="Y81" s="133"/>
      <c r="Z81" s="133"/>
      <c r="AA81" s="133"/>
      <c r="AB81" s="133"/>
      <c r="AC81" s="130"/>
      <c r="AD81" s="130"/>
      <c r="AE81" s="130"/>
      <c r="AF81" s="130"/>
      <c r="AG81" s="130"/>
      <c r="AH81" s="130"/>
      <c r="AI81" s="130"/>
      <c r="AJ81" s="130"/>
      <c r="AK81" s="130"/>
      <c r="AL81" s="130"/>
      <c r="AM81" s="130"/>
      <c r="AN81" s="130"/>
    </row>
    <row r="82">
      <c r="A82" s="198" t="s">
        <v>993</v>
      </c>
      <c r="B82" s="644">
        <f t="shared" ref="B82:R82" si="16">B62*100/B52</f>
        <v>85.71428571</v>
      </c>
      <c r="C82" s="644">
        <f t="shared" si="16"/>
        <v>63.41463415</v>
      </c>
      <c r="D82" s="644">
        <f t="shared" si="16"/>
        <v>190</v>
      </c>
      <c r="E82" s="644">
        <f t="shared" si="16"/>
        <v>41.30434783</v>
      </c>
      <c r="F82" s="644">
        <f t="shared" si="16"/>
        <v>79.59183673</v>
      </c>
      <c r="G82" s="644">
        <f t="shared" si="16"/>
        <v>57.77777778</v>
      </c>
      <c r="H82" s="644">
        <f t="shared" si="16"/>
        <v>78.57142857</v>
      </c>
      <c r="I82" s="644">
        <f t="shared" si="16"/>
        <v>100</v>
      </c>
      <c r="J82" s="644">
        <f t="shared" si="16"/>
        <v>20.58823529</v>
      </c>
      <c r="K82" s="644">
        <f t="shared" si="16"/>
        <v>46.93877551</v>
      </c>
      <c r="L82" s="644">
        <f t="shared" si="16"/>
        <v>102.0408163</v>
      </c>
      <c r="M82" s="644">
        <f t="shared" si="16"/>
        <v>49.01960784</v>
      </c>
      <c r="N82" s="644">
        <f t="shared" si="16"/>
        <v>111.627907</v>
      </c>
      <c r="O82" s="645" t="str">
        <f t="shared" si="16"/>
        <v>#DIV/0!</v>
      </c>
      <c r="P82" s="645" t="str">
        <f t="shared" si="16"/>
        <v>#DIV/0!</v>
      </c>
      <c r="Q82" s="645" t="str">
        <f t="shared" si="16"/>
        <v>#DIV/0!</v>
      </c>
      <c r="R82" s="645" t="str">
        <f t="shared" si="16"/>
        <v>#DIV/0!</v>
      </c>
      <c r="S82" s="645"/>
      <c r="T82" s="646"/>
      <c r="U82" s="133"/>
      <c r="V82" s="133"/>
      <c r="W82" s="133"/>
      <c r="X82" s="133"/>
      <c r="Y82" s="133"/>
      <c r="Z82" s="133"/>
      <c r="AA82" s="133"/>
      <c r="AB82" s="133"/>
      <c r="AC82" s="130"/>
      <c r="AD82" s="130"/>
      <c r="AE82" s="130"/>
      <c r="AF82" s="130"/>
      <c r="AG82" s="130"/>
      <c r="AH82" s="130"/>
      <c r="AI82" s="130"/>
      <c r="AJ82" s="130"/>
      <c r="AK82" s="130"/>
      <c r="AL82" s="130"/>
      <c r="AM82" s="130"/>
      <c r="AN82" s="130"/>
    </row>
    <row r="83">
      <c r="A83" s="198" t="s">
        <v>1006</v>
      </c>
      <c r="B83" s="644" t="str">
        <f t="shared" ref="B83:L83" si="17">#REF!*100/#REF!</f>
        <v>#REF!</v>
      </c>
      <c r="C83" s="644" t="str">
        <f t="shared" si="17"/>
        <v>#REF!</v>
      </c>
      <c r="D83" s="644" t="str">
        <f t="shared" si="17"/>
        <v>#REF!</v>
      </c>
      <c r="E83" s="644" t="str">
        <f t="shared" si="17"/>
        <v>#REF!</v>
      </c>
      <c r="F83" s="644" t="str">
        <f t="shared" si="17"/>
        <v>#REF!</v>
      </c>
      <c r="G83" s="644" t="str">
        <f t="shared" si="17"/>
        <v>#REF!</v>
      </c>
      <c r="H83" s="644" t="str">
        <f t="shared" si="17"/>
        <v>#REF!</v>
      </c>
      <c r="I83" s="644" t="str">
        <f t="shared" si="17"/>
        <v>#REF!</v>
      </c>
      <c r="J83" s="644" t="str">
        <f t="shared" si="17"/>
        <v>#REF!</v>
      </c>
      <c r="K83" s="644" t="str">
        <f t="shared" si="17"/>
        <v>#REF!</v>
      </c>
      <c r="L83" s="644" t="str">
        <f t="shared" si="17"/>
        <v>#REF!</v>
      </c>
      <c r="M83" s="645"/>
      <c r="N83" s="645"/>
      <c r="O83" s="645"/>
      <c r="P83" s="645"/>
      <c r="Q83" s="645"/>
      <c r="R83" s="645"/>
      <c r="S83" s="645"/>
      <c r="T83" s="646"/>
      <c r="U83" s="133"/>
      <c r="V83" s="133"/>
      <c r="W83" s="133"/>
      <c r="X83" s="133"/>
      <c r="Y83" s="133"/>
      <c r="Z83" s="133"/>
      <c r="AA83" s="133"/>
      <c r="AB83" s="133"/>
      <c r="AC83" s="130"/>
      <c r="AD83" s="130"/>
      <c r="AE83" s="130"/>
      <c r="AF83" s="130"/>
      <c r="AG83" s="130"/>
      <c r="AH83" s="130"/>
      <c r="AI83" s="130"/>
      <c r="AJ83" s="130"/>
      <c r="AK83" s="130"/>
      <c r="AL83" s="130"/>
      <c r="AM83" s="130"/>
      <c r="AN83" s="130"/>
    </row>
    <row r="84">
      <c r="A84" s="196" t="s">
        <v>994</v>
      </c>
      <c r="B84" s="644"/>
      <c r="C84" s="644"/>
      <c r="D84" s="644"/>
      <c r="E84" s="644"/>
      <c r="F84" s="644"/>
      <c r="G84" s="644"/>
      <c r="H84" s="644">
        <f>H63*100/H53</f>
        <v>100</v>
      </c>
      <c r="I84" s="644"/>
      <c r="J84" s="644">
        <f>J63*100/J53</f>
        <v>100</v>
      </c>
      <c r="K84" s="644"/>
      <c r="L84" s="644"/>
      <c r="M84" s="645"/>
      <c r="N84" s="645"/>
      <c r="O84" s="645"/>
      <c r="P84" s="645"/>
      <c r="Q84" s="645"/>
      <c r="R84" s="645"/>
      <c r="S84" s="645"/>
      <c r="T84" s="646"/>
      <c r="U84" s="133"/>
      <c r="V84" s="133"/>
      <c r="W84" s="133"/>
      <c r="X84" s="133"/>
      <c r="Y84" s="133"/>
      <c r="Z84" s="133"/>
      <c r="AA84" s="133"/>
      <c r="AB84" s="133"/>
      <c r="AC84" s="130"/>
      <c r="AD84" s="130"/>
      <c r="AE84" s="130"/>
      <c r="AF84" s="130"/>
      <c r="AG84" s="130"/>
      <c r="AH84" s="130"/>
      <c r="AI84" s="130"/>
      <c r="AJ84" s="130"/>
      <c r="AK84" s="130"/>
      <c r="AL84" s="130"/>
      <c r="AM84" s="130"/>
      <c r="AN84" s="130"/>
    </row>
    <row r="85">
      <c r="A85" s="196" t="s">
        <v>995</v>
      </c>
      <c r="B85" s="644">
        <f t="shared" ref="B85:T85" si="18">B64*100/B54</f>
        <v>107.1428571</v>
      </c>
      <c r="C85" s="644">
        <f t="shared" si="18"/>
        <v>100</v>
      </c>
      <c r="D85" s="644">
        <f t="shared" si="18"/>
        <v>102.2222222</v>
      </c>
      <c r="E85" s="644">
        <f t="shared" si="18"/>
        <v>123.5294118</v>
      </c>
      <c r="F85" s="644">
        <f t="shared" si="18"/>
        <v>100</v>
      </c>
      <c r="G85" s="644">
        <f t="shared" si="18"/>
        <v>102.3809524</v>
      </c>
      <c r="H85" s="644">
        <f t="shared" si="18"/>
        <v>117.3913043</v>
      </c>
      <c r="I85" s="644">
        <f t="shared" si="18"/>
        <v>114.2857143</v>
      </c>
      <c r="J85" s="644">
        <f t="shared" si="18"/>
        <v>100</v>
      </c>
      <c r="K85" s="644">
        <f t="shared" si="18"/>
        <v>106.8181818</v>
      </c>
      <c r="L85" s="644">
        <f t="shared" si="18"/>
        <v>100</v>
      </c>
      <c r="M85" s="644">
        <f t="shared" si="18"/>
        <v>100</v>
      </c>
      <c r="N85" s="644">
        <f t="shared" si="18"/>
        <v>104.3478261</v>
      </c>
      <c r="O85" s="644">
        <f t="shared" si="18"/>
        <v>100</v>
      </c>
      <c r="P85" s="644">
        <f t="shared" si="18"/>
        <v>117.3076923</v>
      </c>
      <c r="Q85" s="644">
        <f t="shared" si="18"/>
        <v>112.8205128</v>
      </c>
      <c r="R85" s="644">
        <f t="shared" si="18"/>
        <v>101.9607843</v>
      </c>
      <c r="S85" s="644">
        <f t="shared" si="18"/>
        <v>90.69767442</v>
      </c>
      <c r="T85" s="647">
        <f t="shared" si="18"/>
        <v>120</v>
      </c>
      <c r="U85" s="133"/>
      <c r="V85" s="133"/>
      <c r="W85" s="133"/>
      <c r="X85" s="133"/>
      <c r="Y85" s="133"/>
      <c r="Z85" s="133"/>
      <c r="AA85" s="133"/>
      <c r="AB85" s="133"/>
      <c r="AC85" s="130"/>
      <c r="AD85" s="130"/>
      <c r="AE85" s="130"/>
      <c r="AF85" s="130"/>
      <c r="AG85" s="130"/>
      <c r="AH85" s="130"/>
      <c r="AI85" s="130"/>
      <c r="AJ85" s="130"/>
      <c r="AK85" s="130"/>
      <c r="AL85" s="130"/>
      <c r="AM85" s="130"/>
      <c r="AN85" s="130"/>
    </row>
    <row r="86">
      <c r="A86" s="198" t="s">
        <v>997</v>
      </c>
      <c r="B86" s="644">
        <f t="shared" ref="B86:S86" si="19">B66*100/B56</f>
        <v>106.6666667</v>
      </c>
      <c r="C86" s="644">
        <f t="shared" si="19"/>
        <v>100</v>
      </c>
      <c r="D86" s="644">
        <f t="shared" si="19"/>
        <v>58.33333333</v>
      </c>
      <c r="E86" s="644">
        <f t="shared" si="19"/>
        <v>61.53846154</v>
      </c>
      <c r="F86" s="644">
        <f t="shared" si="19"/>
        <v>60.86956522</v>
      </c>
      <c r="G86" s="644">
        <f t="shared" si="19"/>
        <v>40</v>
      </c>
      <c r="H86" s="644">
        <f t="shared" si="19"/>
        <v>59.25925926</v>
      </c>
      <c r="I86" s="644">
        <f t="shared" si="19"/>
        <v>100</v>
      </c>
      <c r="J86" s="644">
        <f t="shared" si="19"/>
        <v>100</v>
      </c>
      <c r="K86" s="644">
        <f t="shared" si="19"/>
        <v>36.36363636</v>
      </c>
      <c r="L86" s="644">
        <f t="shared" si="19"/>
        <v>69.6969697</v>
      </c>
      <c r="M86" s="644">
        <f t="shared" si="19"/>
        <v>90.90909091</v>
      </c>
      <c r="N86" s="644">
        <f t="shared" si="19"/>
        <v>69.23076923</v>
      </c>
      <c r="O86" s="644">
        <f t="shared" si="19"/>
        <v>97.05882353</v>
      </c>
      <c r="P86" s="644">
        <f t="shared" si="19"/>
        <v>96.875</v>
      </c>
      <c r="Q86" s="644">
        <f t="shared" si="19"/>
        <v>116.1290323</v>
      </c>
      <c r="R86" s="644">
        <f t="shared" si="19"/>
        <v>40</v>
      </c>
      <c r="S86" s="644" t="str">
        <f t="shared" si="19"/>
        <v>#DIV/0!</v>
      </c>
      <c r="T86" s="646"/>
      <c r="U86" s="133"/>
      <c r="V86" s="133"/>
      <c r="W86" s="133"/>
      <c r="X86" s="133"/>
      <c r="Y86" s="133"/>
      <c r="Z86" s="133"/>
      <c r="AA86" s="133"/>
      <c r="AB86" s="133"/>
      <c r="AC86" s="130"/>
      <c r="AD86" s="130"/>
      <c r="AE86" s="130"/>
      <c r="AF86" s="130"/>
      <c r="AG86" s="130"/>
      <c r="AH86" s="130"/>
      <c r="AI86" s="130"/>
      <c r="AJ86" s="130"/>
      <c r="AK86" s="130"/>
      <c r="AL86" s="130"/>
      <c r="AM86" s="130"/>
      <c r="AN86" s="130"/>
    </row>
    <row r="87">
      <c r="A87" s="198" t="s">
        <v>998</v>
      </c>
      <c r="B87" s="138"/>
      <c r="K87" s="648" t="str">
        <f t="shared" ref="K87:S87" si="20">K67*100/K57</f>
        <v>#DIV/0!</v>
      </c>
      <c r="L87" s="648" t="str">
        <f t="shared" si="20"/>
        <v>#DIV/0!</v>
      </c>
      <c r="M87" s="648">
        <f t="shared" si="20"/>
        <v>0</v>
      </c>
      <c r="N87" s="648">
        <f t="shared" si="20"/>
        <v>160</v>
      </c>
      <c r="O87" s="648">
        <f t="shared" si="20"/>
        <v>100</v>
      </c>
      <c r="P87" s="648">
        <f t="shared" si="20"/>
        <v>112.9032258</v>
      </c>
      <c r="Q87" s="648">
        <f t="shared" si="20"/>
        <v>75</v>
      </c>
      <c r="R87" s="648">
        <f t="shared" si="20"/>
        <v>100</v>
      </c>
      <c r="S87" s="648">
        <f t="shared" si="20"/>
        <v>77.14285714</v>
      </c>
      <c r="T87" s="646"/>
    </row>
    <row r="88">
      <c r="A88" s="126" t="s">
        <v>225</v>
      </c>
      <c r="B88" s="410"/>
      <c r="C88" s="403"/>
      <c r="D88" s="403"/>
      <c r="E88" s="403"/>
      <c r="F88" s="403"/>
      <c r="G88" s="403"/>
      <c r="H88" s="403"/>
      <c r="I88" s="403"/>
      <c r="J88" s="403"/>
      <c r="K88" s="403"/>
      <c r="L88" s="403"/>
      <c r="M88" s="403"/>
      <c r="N88" s="403"/>
      <c r="O88" s="403"/>
      <c r="P88" s="403"/>
      <c r="Q88" s="403"/>
      <c r="R88" s="403"/>
      <c r="S88" s="403"/>
      <c r="T88" s="403"/>
      <c r="U88" s="403"/>
      <c r="V88" s="411"/>
      <c r="W88" s="403"/>
      <c r="X88" s="403"/>
      <c r="Y88" s="403"/>
      <c r="Z88" s="403"/>
      <c r="AA88" s="403"/>
      <c r="AB88" s="403"/>
      <c r="AC88" s="403"/>
      <c r="AD88" s="403"/>
      <c r="AE88" s="403"/>
      <c r="AF88" s="403"/>
      <c r="AG88" s="403"/>
      <c r="AH88" s="403"/>
      <c r="AI88" s="403"/>
      <c r="AJ88" s="403"/>
      <c r="AK88" s="403"/>
      <c r="AL88" s="403"/>
      <c r="AM88" s="403"/>
      <c r="AN88" s="403"/>
    </row>
    <row r="89">
      <c r="B89" s="138"/>
      <c r="T89" s="518"/>
    </row>
    <row r="90">
      <c r="B90" s="138"/>
      <c r="T90" s="518"/>
    </row>
    <row r="91">
      <c r="B91" s="138"/>
      <c r="T91" s="518"/>
    </row>
    <row r="92">
      <c r="B92" s="138"/>
      <c r="T92" s="518"/>
    </row>
    <row r="93">
      <c r="B93" s="138"/>
      <c r="T93" s="518"/>
    </row>
    <row r="94">
      <c r="B94" s="138"/>
      <c r="T94" s="518"/>
    </row>
    <row r="95">
      <c r="B95" s="138"/>
      <c r="T95" s="518"/>
    </row>
    <row r="96">
      <c r="B96" s="138"/>
      <c r="T96" s="518"/>
    </row>
    <row r="97">
      <c r="B97" s="138"/>
      <c r="T97" s="518"/>
    </row>
    <row r="98">
      <c r="B98" s="138"/>
      <c r="T98" s="518"/>
    </row>
    <row r="99">
      <c r="B99" s="138"/>
      <c r="T99" s="518"/>
    </row>
    <row r="100">
      <c r="B100" s="138"/>
      <c r="T100" s="518"/>
    </row>
    <row r="101">
      <c r="B101" s="138"/>
      <c r="T101" s="518"/>
    </row>
    <row r="102">
      <c r="B102" s="138"/>
      <c r="T102" s="518"/>
    </row>
    <row r="103">
      <c r="B103" s="138"/>
      <c r="T103" s="518"/>
    </row>
    <row r="104">
      <c r="B104" s="138"/>
      <c r="T104" s="518"/>
    </row>
    <row r="105">
      <c r="B105" s="138"/>
      <c r="T105" s="518"/>
    </row>
    <row r="106">
      <c r="B106" s="138"/>
      <c r="T106" s="518"/>
    </row>
    <row r="107">
      <c r="B107" s="138"/>
      <c r="T107" s="518"/>
    </row>
    <row r="108">
      <c r="B108" s="138"/>
      <c r="T108" s="518"/>
    </row>
    <row r="109">
      <c r="B109" s="138"/>
      <c r="T109" s="518"/>
    </row>
    <row r="110">
      <c r="B110" s="138"/>
      <c r="T110" s="518"/>
    </row>
    <row r="111">
      <c r="B111" s="138"/>
      <c r="T111" s="518"/>
    </row>
    <row r="112">
      <c r="B112" s="138"/>
      <c r="T112" s="518"/>
    </row>
    <row r="113">
      <c r="B113" s="138"/>
      <c r="T113" s="518"/>
    </row>
    <row r="114">
      <c r="B114" s="138"/>
      <c r="T114" s="518"/>
    </row>
    <row r="115">
      <c r="B115" s="138"/>
      <c r="T115" s="518"/>
    </row>
    <row r="116">
      <c r="B116" s="138"/>
      <c r="T116" s="518"/>
    </row>
    <row r="117">
      <c r="B117" s="138"/>
      <c r="T117" s="518"/>
    </row>
    <row r="118">
      <c r="B118" s="138"/>
      <c r="T118" s="518"/>
    </row>
    <row r="119">
      <c r="B119" s="138"/>
      <c r="T119" s="518"/>
    </row>
    <row r="120">
      <c r="B120" s="138"/>
      <c r="T120" s="518"/>
    </row>
    <row r="121">
      <c r="B121" s="138"/>
      <c r="T121" s="518"/>
    </row>
    <row r="122">
      <c r="B122" s="138"/>
      <c r="T122" s="518"/>
    </row>
    <row r="123">
      <c r="B123" s="138"/>
      <c r="T123" s="518"/>
    </row>
    <row r="124">
      <c r="B124" s="138"/>
      <c r="T124" s="518"/>
    </row>
    <row r="125">
      <c r="B125" s="138"/>
      <c r="T125" s="518"/>
    </row>
    <row r="126">
      <c r="B126" s="138"/>
      <c r="T126" s="518"/>
    </row>
    <row r="127">
      <c r="B127" s="138"/>
      <c r="T127" s="518"/>
    </row>
    <row r="128">
      <c r="B128" s="138"/>
      <c r="T128" s="518"/>
    </row>
    <row r="129">
      <c r="B129" s="138"/>
      <c r="T129" s="518"/>
    </row>
    <row r="130">
      <c r="B130" s="138"/>
      <c r="T130" s="518"/>
    </row>
    <row r="131">
      <c r="B131" s="138"/>
      <c r="T131" s="518"/>
    </row>
    <row r="132">
      <c r="B132" s="138"/>
      <c r="T132" s="518"/>
    </row>
    <row r="133">
      <c r="B133" s="138"/>
      <c r="T133" s="518"/>
    </row>
    <row r="134">
      <c r="B134" s="138"/>
      <c r="T134" s="518"/>
    </row>
    <row r="135">
      <c r="B135" s="138"/>
      <c r="T135" s="518"/>
    </row>
    <row r="136">
      <c r="B136" s="138"/>
      <c r="T136" s="518"/>
    </row>
    <row r="137">
      <c r="B137" s="138"/>
      <c r="T137" s="518"/>
    </row>
    <row r="138">
      <c r="B138" s="138"/>
      <c r="T138" s="518"/>
    </row>
    <row r="139">
      <c r="B139" s="138"/>
      <c r="T139" s="518"/>
    </row>
    <row r="140">
      <c r="B140" s="138"/>
      <c r="T140" s="518"/>
    </row>
    <row r="141">
      <c r="B141" s="138"/>
      <c r="T141" s="518"/>
    </row>
    <row r="142">
      <c r="B142" s="138"/>
      <c r="T142" s="518"/>
    </row>
    <row r="143">
      <c r="B143" s="138"/>
      <c r="T143" s="518"/>
    </row>
    <row r="144">
      <c r="B144" s="138"/>
      <c r="T144" s="518"/>
    </row>
    <row r="145">
      <c r="B145" s="138"/>
      <c r="T145" s="518"/>
    </row>
    <row r="146">
      <c r="B146" s="138"/>
      <c r="T146" s="518"/>
    </row>
    <row r="147">
      <c r="B147" s="138"/>
      <c r="T147" s="518"/>
    </row>
    <row r="148">
      <c r="B148" s="138"/>
      <c r="T148" s="518"/>
    </row>
    <row r="149">
      <c r="B149" s="138"/>
      <c r="T149" s="518"/>
    </row>
    <row r="150">
      <c r="B150" s="138"/>
      <c r="T150" s="518"/>
    </row>
    <row r="151">
      <c r="B151" s="138"/>
      <c r="T151" s="518"/>
    </row>
    <row r="152">
      <c r="B152" s="138"/>
      <c r="T152" s="518"/>
    </row>
    <row r="153">
      <c r="B153" s="138"/>
      <c r="T153" s="518"/>
    </row>
    <row r="154">
      <c r="B154" s="138"/>
      <c r="T154" s="518"/>
    </row>
    <row r="155">
      <c r="B155" s="138"/>
      <c r="T155" s="518"/>
    </row>
    <row r="156">
      <c r="B156" s="138"/>
      <c r="T156" s="518"/>
    </row>
    <row r="157">
      <c r="B157" s="138"/>
      <c r="T157" s="518"/>
    </row>
    <row r="158">
      <c r="B158" s="138"/>
      <c r="T158" s="518"/>
    </row>
    <row r="159">
      <c r="B159" s="138"/>
      <c r="T159" s="518"/>
    </row>
    <row r="160">
      <c r="B160" s="138"/>
      <c r="T160" s="518"/>
    </row>
    <row r="161">
      <c r="B161" s="138"/>
      <c r="T161" s="518"/>
    </row>
    <row r="162">
      <c r="B162" s="138"/>
      <c r="T162" s="518"/>
    </row>
    <row r="163">
      <c r="B163" s="138"/>
      <c r="T163" s="518"/>
    </row>
    <row r="164">
      <c r="B164" s="138"/>
      <c r="T164" s="518"/>
    </row>
    <row r="165">
      <c r="B165" s="138"/>
      <c r="T165" s="518"/>
    </row>
    <row r="166">
      <c r="B166" s="138"/>
      <c r="T166" s="518"/>
    </row>
    <row r="167">
      <c r="B167" s="138"/>
      <c r="T167" s="518"/>
    </row>
    <row r="168">
      <c r="B168" s="138"/>
      <c r="T168" s="518"/>
    </row>
    <row r="169">
      <c r="B169" s="138"/>
      <c r="T169" s="518"/>
    </row>
    <row r="170">
      <c r="B170" s="138"/>
      <c r="T170" s="518"/>
    </row>
    <row r="171">
      <c r="B171" s="138"/>
      <c r="T171" s="518"/>
    </row>
    <row r="172">
      <c r="B172" s="138"/>
      <c r="T172" s="518"/>
    </row>
    <row r="173">
      <c r="B173" s="138"/>
      <c r="T173" s="518"/>
    </row>
    <row r="174">
      <c r="B174" s="138"/>
      <c r="T174" s="518"/>
    </row>
    <row r="175">
      <c r="B175" s="138"/>
      <c r="T175" s="518"/>
    </row>
    <row r="176">
      <c r="B176" s="138"/>
      <c r="T176" s="518"/>
    </row>
    <row r="177">
      <c r="B177" s="138"/>
      <c r="T177" s="518"/>
    </row>
    <row r="178">
      <c r="B178" s="138"/>
      <c r="T178" s="518"/>
    </row>
    <row r="179">
      <c r="B179" s="138"/>
      <c r="T179" s="518"/>
    </row>
    <row r="180">
      <c r="B180" s="138"/>
      <c r="T180" s="518"/>
    </row>
    <row r="181">
      <c r="B181" s="138"/>
      <c r="T181" s="518"/>
    </row>
    <row r="182">
      <c r="B182" s="138"/>
      <c r="T182" s="518"/>
    </row>
    <row r="183">
      <c r="B183" s="138"/>
      <c r="T183" s="518"/>
    </row>
    <row r="184">
      <c r="B184" s="138"/>
      <c r="T184" s="518"/>
    </row>
    <row r="185">
      <c r="B185" s="138"/>
      <c r="T185" s="518"/>
    </row>
    <row r="186">
      <c r="B186" s="138"/>
      <c r="T186" s="518"/>
    </row>
    <row r="187">
      <c r="B187" s="138"/>
      <c r="T187" s="518"/>
    </row>
    <row r="188">
      <c r="B188" s="138"/>
      <c r="T188" s="518"/>
    </row>
    <row r="189">
      <c r="B189" s="138"/>
      <c r="T189" s="518"/>
    </row>
    <row r="190">
      <c r="B190" s="138"/>
      <c r="T190" s="518"/>
    </row>
    <row r="191">
      <c r="B191" s="138"/>
      <c r="T191" s="518"/>
    </row>
    <row r="192">
      <c r="B192" s="138"/>
      <c r="T192" s="518"/>
    </row>
    <row r="193">
      <c r="B193" s="138"/>
      <c r="T193" s="518"/>
    </row>
    <row r="194">
      <c r="B194" s="138"/>
      <c r="T194" s="518"/>
    </row>
    <row r="195">
      <c r="B195" s="138"/>
      <c r="T195" s="518"/>
    </row>
    <row r="196">
      <c r="B196" s="138"/>
      <c r="T196" s="518"/>
    </row>
    <row r="197">
      <c r="B197" s="138"/>
      <c r="T197" s="518"/>
    </row>
    <row r="198">
      <c r="B198" s="138"/>
      <c r="T198" s="518"/>
    </row>
    <row r="199">
      <c r="B199" s="138"/>
      <c r="T199" s="518"/>
    </row>
    <row r="200">
      <c r="B200" s="138"/>
      <c r="T200" s="518"/>
    </row>
    <row r="201">
      <c r="B201" s="138"/>
      <c r="T201" s="518"/>
    </row>
    <row r="202">
      <c r="B202" s="138"/>
      <c r="T202" s="518"/>
    </row>
    <row r="203">
      <c r="B203" s="138"/>
      <c r="T203" s="518"/>
    </row>
    <row r="204">
      <c r="B204" s="138"/>
      <c r="T204" s="518"/>
    </row>
    <row r="205">
      <c r="B205" s="138"/>
      <c r="T205" s="518"/>
    </row>
    <row r="206">
      <c r="B206" s="138"/>
      <c r="T206" s="518"/>
    </row>
    <row r="207">
      <c r="B207" s="138"/>
      <c r="T207" s="518"/>
    </row>
    <row r="208">
      <c r="B208" s="138"/>
      <c r="T208" s="518"/>
    </row>
    <row r="209">
      <c r="B209" s="138"/>
      <c r="T209" s="518"/>
    </row>
    <row r="210">
      <c r="B210" s="138"/>
      <c r="T210" s="518"/>
    </row>
    <row r="211">
      <c r="B211" s="138"/>
      <c r="T211" s="518"/>
    </row>
    <row r="212">
      <c r="B212" s="138"/>
      <c r="T212" s="518"/>
    </row>
    <row r="213">
      <c r="B213" s="138"/>
      <c r="T213" s="518"/>
    </row>
    <row r="214">
      <c r="B214" s="138"/>
      <c r="T214" s="518"/>
    </row>
    <row r="215">
      <c r="B215" s="138"/>
      <c r="T215" s="518"/>
    </row>
    <row r="216">
      <c r="B216" s="138"/>
      <c r="T216" s="518"/>
    </row>
    <row r="217">
      <c r="B217" s="138"/>
      <c r="T217" s="518"/>
    </row>
    <row r="218">
      <c r="B218" s="138"/>
      <c r="T218" s="518"/>
    </row>
    <row r="219">
      <c r="B219" s="138"/>
      <c r="T219" s="518"/>
    </row>
    <row r="220">
      <c r="B220" s="138"/>
      <c r="T220" s="518"/>
    </row>
    <row r="221">
      <c r="B221" s="138"/>
      <c r="T221" s="518"/>
    </row>
    <row r="222">
      <c r="B222" s="138"/>
      <c r="T222" s="518"/>
    </row>
    <row r="223">
      <c r="B223" s="138"/>
      <c r="T223" s="518"/>
    </row>
    <row r="224">
      <c r="B224" s="138"/>
      <c r="T224" s="518"/>
    </row>
    <row r="225">
      <c r="B225" s="138"/>
      <c r="T225" s="518"/>
    </row>
    <row r="226">
      <c r="B226" s="138"/>
      <c r="T226" s="518"/>
    </row>
    <row r="227">
      <c r="B227" s="138"/>
      <c r="T227" s="518"/>
    </row>
    <row r="228">
      <c r="B228" s="138"/>
      <c r="T228" s="518"/>
    </row>
    <row r="229">
      <c r="B229" s="138"/>
      <c r="T229" s="518"/>
    </row>
    <row r="230">
      <c r="B230" s="138"/>
      <c r="T230" s="518"/>
    </row>
    <row r="231">
      <c r="B231" s="138"/>
      <c r="T231" s="518"/>
    </row>
    <row r="232">
      <c r="B232" s="138"/>
      <c r="T232" s="518"/>
    </row>
    <row r="233">
      <c r="B233" s="138"/>
      <c r="T233" s="518"/>
    </row>
    <row r="234">
      <c r="B234" s="138"/>
      <c r="T234" s="518"/>
    </row>
    <row r="235">
      <c r="B235" s="138"/>
      <c r="T235" s="518"/>
    </row>
    <row r="236">
      <c r="B236" s="138"/>
      <c r="T236" s="518"/>
    </row>
    <row r="237">
      <c r="B237" s="138"/>
      <c r="T237" s="518"/>
    </row>
    <row r="238">
      <c r="B238" s="138"/>
      <c r="T238" s="518"/>
    </row>
    <row r="239">
      <c r="B239" s="138"/>
      <c r="T239" s="518"/>
    </row>
    <row r="240">
      <c r="B240" s="138"/>
      <c r="T240" s="518"/>
    </row>
    <row r="241">
      <c r="B241" s="138"/>
      <c r="T241" s="518"/>
    </row>
    <row r="242">
      <c r="B242" s="138"/>
      <c r="T242" s="518"/>
    </row>
    <row r="243">
      <c r="B243" s="138"/>
      <c r="T243" s="518"/>
    </row>
    <row r="244">
      <c r="B244" s="138"/>
      <c r="T244" s="518"/>
    </row>
    <row r="245">
      <c r="B245" s="138"/>
      <c r="T245" s="518"/>
    </row>
    <row r="246">
      <c r="B246" s="138"/>
      <c r="T246" s="518"/>
    </row>
    <row r="247">
      <c r="B247" s="138"/>
      <c r="T247" s="518"/>
    </row>
    <row r="248">
      <c r="B248" s="138"/>
      <c r="T248" s="518"/>
    </row>
    <row r="249">
      <c r="B249" s="138"/>
      <c r="T249" s="518"/>
    </row>
    <row r="250">
      <c r="B250" s="138"/>
      <c r="T250" s="518"/>
    </row>
    <row r="251">
      <c r="B251" s="138"/>
      <c r="T251" s="518"/>
    </row>
    <row r="252">
      <c r="B252" s="138"/>
      <c r="T252" s="518"/>
    </row>
    <row r="253">
      <c r="B253" s="138"/>
      <c r="T253" s="518"/>
    </row>
    <row r="254">
      <c r="B254" s="138"/>
      <c r="T254" s="518"/>
    </row>
    <row r="255">
      <c r="B255" s="138"/>
      <c r="T255" s="518"/>
    </row>
    <row r="256">
      <c r="B256" s="138"/>
      <c r="T256" s="518"/>
    </row>
    <row r="257">
      <c r="B257" s="138"/>
      <c r="T257" s="518"/>
    </row>
    <row r="258">
      <c r="B258" s="138"/>
      <c r="T258" s="518"/>
    </row>
    <row r="259">
      <c r="B259" s="138"/>
      <c r="T259" s="518"/>
    </row>
    <row r="260">
      <c r="B260" s="138"/>
      <c r="T260" s="518"/>
    </row>
    <row r="261">
      <c r="B261" s="138"/>
      <c r="T261" s="518"/>
    </row>
    <row r="262">
      <c r="B262" s="138"/>
      <c r="T262" s="518"/>
    </row>
    <row r="263">
      <c r="B263" s="138"/>
      <c r="T263" s="518"/>
    </row>
    <row r="264">
      <c r="B264" s="138"/>
      <c r="T264" s="518"/>
    </row>
    <row r="265">
      <c r="B265" s="138"/>
      <c r="T265" s="518"/>
    </row>
    <row r="266">
      <c r="B266" s="138"/>
      <c r="T266" s="518"/>
    </row>
    <row r="267">
      <c r="B267" s="138"/>
      <c r="T267" s="518"/>
    </row>
    <row r="268">
      <c r="B268" s="138"/>
      <c r="T268" s="518"/>
    </row>
    <row r="269">
      <c r="B269" s="138"/>
      <c r="T269" s="518"/>
    </row>
    <row r="270">
      <c r="B270" s="138"/>
      <c r="T270" s="518"/>
    </row>
    <row r="271">
      <c r="B271" s="138"/>
      <c r="T271" s="518"/>
    </row>
    <row r="272">
      <c r="B272" s="138"/>
      <c r="T272" s="518"/>
    </row>
    <row r="273">
      <c r="B273" s="138"/>
      <c r="T273" s="518"/>
    </row>
    <row r="274">
      <c r="B274" s="138"/>
      <c r="T274" s="518"/>
    </row>
    <row r="275">
      <c r="B275" s="138"/>
      <c r="T275" s="518"/>
    </row>
    <row r="276">
      <c r="B276" s="138"/>
      <c r="T276" s="518"/>
    </row>
    <row r="277">
      <c r="B277" s="138"/>
      <c r="T277" s="518"/>
    </row>
    <row r="278">
      <c r="B278" s="138"/>
      <c r="T278" s="518"/>
    </row>
    <row r="279">
      <c r="B279" s="138"/>
      <c r="T279" s="518"/>
    </row>
    <row r="280">
      <c r="B280" s="138"/>
      <c r="T280" s="518"/>
    </row>
    <row r="281">
      <c r="B281" s="138"/>
      <c r="T281" s="518"/>
    </row>
    <row r="282">
      <c r="B282" s="138"/>
      <c r="T282" s="518"/>
    </row>
    <row r="283">
      <c r="B283" s="138"/>
      <c r="T283" s="518"/>
    </row>
    <row r="284">
      <c r="B284" s="138"/>
      <c r="T284" s="518"/>
    </row>
    <row r="285">
      <c r="B285" s="138"/>
      <c r="T285" s="518"/>
    </row>
    <row r="286">
      <c r="B286" s="138"/>
      <c r="T286" s="518"/>
    </row>
    <row r="287">
      <c r="B287" s="138"/>
      <c r="T287" s="518"/>
    </row>
    <row r="288">
      <c r="B288" s="138"/>
      <c r="T288" s="518"/>
    </row>
    <row r="289">
      <c r="B289" s="138"/>
      <c r="T289" s="518"/>
    </row>
    <row r="290">
      <c r="B290" s="138"/>
      <c r="T290" s="518"/>
    </row>
    <row r="291">
      <c r="B291" s="138"/>
      <c r="T291" s="518"/>
    </row>
    <row r="292">
      <c r="B292" s="138"/>
      <c r="T292" s="518"/>
    </row>
    <row r="293">
      <c r="B293" s="138"/>
      <c r="T293" s="518"/>
    </row>
    <row r="294">
      <c r="B294" s="138"/>
      <c r="T294" s="518"/>
    </row>
    <row r="295">
      <c r="B295" s="138"/>
      <c r="T295" s="518"/>
    </row>
    <row r="296">
      <c r="B296" s="138"/>
      <c r="T296" s="518"/>
    </row>
    <row r="297">
      <c r="B297" s="138"/>
      <c r="T297" s="518"/>
    </row>
    <row r="298">
      <c r="B298" s="138"/>
      <c r="T298" s="518"/>
    </row>
    <row r="299">
      <c r="B299" s="138"/>
      <c r="T299" s="518"/>
    </row>
    <row r="300">
      <c r="B300" s="138"/>
      <c r="T300" s="518"/>
    </row>
    <row r="301">
      <c r="B301" s="138"/>
      <c r="T301" s="518"/>
    </row>
    <row r="302">
      <c r="B302" s="138"/>
      <c r="T302" s="518"/>
    </row>
    <row r="303">
      <c r="B303" s="138"/>
      <c r="T303" s="518"/>
    </row>
    <row r="304">
      <c r="B304" s="138"/>
      <c r="T304" s="518"/>
    </row>
    <row r="305">
      <c r="B305" s="138"/>
      <c r="T305" s="518"/>
    </row>
    <row r="306">
      <c r="B306" s="138"/>
      <c r="T306" s="518"/>
    </row>
    <row r="307">
      <c r="B307" s="138"/>
      <c r="T307" s="518"/>
    </row>
    <row r="308">
      <c r="B308" s="138"/>
      <c r="T308" s="518"/>
    </row>
    <row r="309">
      <c r="B309" s="138"/>
      <c r="T309" s="518"/>
    </row>
    <row r="310">
      <c r="B310" s="138"/>
      <c r="T310" s="518"/>
    </row>
    <row r="311">
      <c r="B311" s="138"/>
      <c r="T311" s="518"/>
    </row>
    <row r="312">
      <c r="B312" s="138"/>
      <c r="T312" s="518"/>
    </row>
    <row r="313">
      <c r="B313" s="138"/>
      <c r="T313" s="518"/>
    </row>
    <row r="314">
      <c r="B314" s="138"/>
      <c r="T314" s="518"/>
    </row>
    <row r="315">
      <c r="B315" s="138"/>
      <c r="T315" s="518"/>
    </row>
    <row r="316">
      <c r="B316" s="138"/>
      <c r="T316" s="518"/>
    </row>
    <row r="317">
      <c r="B317" s="138"/>
      <c r="T317" s="518"/>
    </row>
    <row r="318">
      <c r="B318" s="138"/>
      <c r="T318" s="518"/>
    </row>
    <row r="319">
      <c r="B319" s="138"/>
      <c r="T319" s="518"/>
    </row>
    <row r="320">
      <c r="B320" s="138"/>
      <c r="T320" s="518"/>
    </row>
    <row r="321">
      <c r="B321" s="138"/>
      <c r="T321" s="518"/>
    </row>
    <row r="322">
      <c r="B322" s="138"/>
      <c r="T322" s="518"/>
    </row>
    <row r="323">
      <c r="B323" s="138"/>
      <c r="T323" s="518"/>
    </row>
    <row r="324">
      <c r="B324" s="138"/>
      <c r="T324" s="518"/>
    </row>
    <row r="325">
      <c r="B325" s="138"/>
      <c r="T325" s="518"/>
    </row>
    <row r="326">
      <c r="B326" s="138"/>
      <c r="T326" s="518"/>
    </row>
    <row r="327">
      <c r="B327" s="138"/>
      <c r="T327" s="518"/>
    </row>
    <row r="328">
      <c r="B328" s="138"/>
      <c r="T328" s="518"/>
    </row>
    <row r="329">
      <c r="B329" s="138"/>
      <c r="T329" s="518"/>
    </row>
    <row r="330">
      <c r="B330" s="138"/>
      <c r="T330" s="518"/>
    </row>
    <row r="331">
      <c r="B331" s="138"/>
      <c r="T331" s="518"/>
    </row>
    <row r="332">
      <c r="B332" s="138"/>
      <c r="T332" s="518"/>
    </row>
    <row r="333">
      <c r="B333" s="138"/>
      <c r="T333" s="518"/>
    </row>
    <row r="334">
      <c r="B334" s="138"/>
      <c r="T334" s="518"/>
    </row>
    <row r="335">
      <c r="B335" s="138"/>
      <c r="T335" s="518"/>
    </row>
    <row r="336">
      <c r="B336" s="138"/>
      <c r="T336" s="518"/>
    </row>
    <row r="337">
      <c r="B337" s="138"/>
      <c r="T337" s="518"/>
    </row>
    <row r="338">
      <c r="B338" s="138"/>
      <c r="T338" s="518"/>
    </row>
    <row r="339">
      <c r="B339" s="138"/>
      <c r="T339" s="518"/>
    </row>
    <row r="340">
      <c r="B340" s="138"/>
      <c r="T340" s="518"/>
    </row>
    <row r="341">
      <c r="B341" s="138"/>
      <c r="T341" s="518"/>
    </row>
    <row r="342">
      <c r="B342" s="138"/>
      <c r="T342" s="518"/>
    </row>
    <row r="343">
      <c r="B343" s="138"/>
      <c r="T343" s="518"/>
    </row>
    <row r="344">
      <c r="B344" s="138"/>
      <c r="T344" s="518"/>
    </row>
    <row r="345">
      <c r="B345" s="138"/>
      <c r="T345" s="518"/>
    </row>
    <row r="346">
      <c r="B346" s="138"/>
      <c r="T346" s="518"/>
    </row>
    <row r="347">
      <c r="B347" s="138"/>
      <c r="T347" s="518"/>
    </row>
    <row r="348">
      <c r="B348" s="138"/>
      <c r="T348" s="518"/>
    </row>
    <row r="349">
      <c r="B349" s="138"/>
      <c r="T349" s="518"/>
    </row>
    <row r="350">
      <c r="B350" s="138"/>
      <c r="T350" s="518"/>
    </row>
    <row r="351">
      <c r="B351" s="138"/>
      <c r="T351" s="518"/>
    </row>
    <row r="352">
      <c r="B352" s="138"/>
      <c r="T352" s="518"/>
    </row>
    <row r="353">
      <c r="B353" s="138"/>
      <c r="T353" s="518"/>
    </row>
    <row r="354">
      <c r="B354" s="138"/>
      <c r="T354" s="518"/>
    </row>
    <row r="355">
      <c r="B355" s="138"/>
      <c r="T355" s="518"/>
    </row>
    <row r="356">
      <c r="B356" s="138"/>
      <c r="T356" s="518"/>
    </row>
    <row r="357">
      <c r="B357" s="138"/>
      <c r="T357" s="518"/>
    </row>
    <row r="358">
      <c r="B358" s="138"/>
      <c r="T358" s="518"/>
    </row>
    <row r="359">
      <c r="B359" s="138"/>
      <c r="T359" s="518"/>
    </row>
    <row r="360">
      <c r="B360" s="138"/>
      <c r="T360" s="518"/>
    </row>
    <row r="361">
      <c r="B361" s="138"/>
      <c r="T361" s="518"/>
    </row>
    <row r="362">
      <c r="B362" s="138"/>
      <c r="T362" s="518"/>
    </row>
    <row r="363">
      <c r="B363" s="138"/>
      <c r="T363" s="518"/>
    </row>
    <row r="364">
      <c r="B364" s="138"/>
      <c r="T364" s="518"/>
    </row>
    <row r="365">
      <c r="B365" s="138"/>
      <c r="T365" s="518"/>
    </row>
    <row r="366">
      <c r="B366" s="138"/>
      <c r="T366" s="518"/>
    </row>
    <row r="367">
      <c r="B367" s="138"/>
      <c r="T367" s="518"/>
    </row>
    <row r="368">
      <c r="B368" s="138"/>
      <c r="T368" s="518"/>
    </row>
    <row r="369">
      <c r="B369" s="138"/>
      <c r="T369" s="518"/>
    </row>
    <row r="370">
      <c r="B370" s="138"/>
      <c r="T370" s="518"/>
    </row>
    <row r="371">
      <c r="B371" s="138"/>
      <c r="T371" s="518"/>
    </row>
    <row r="372">
      <c r="B372" s="138"/>
      <c r="T372" s="518"/>
    </row>
    <row r="373">
      <c r="B373" s="138"/>
      <c r="T373" s="518"/>
    </row>
    <row r="374">
      <c r="B374" s="138"/>
      <c r="T374" s="518"/>
    </row>
    <row r="375">
      <c r="B375" s="138"/>
      <c r="T375" s="518"/>
    </row>
    <row r="376">
      <c r="B376" s="138"/>
      <c r="T376" s="518"/>
    </row>
    <row r="377">
      <c r="B377" s="138"/>
      <c r="T377" s="518"/>
    </row>
    <row r="378">
      <c r="B378" s="138"/>
      <c r="T378" s="518"/>
    </row>
    <row r="379">
      <c r="B379" s="138"/>
      <c r="T379" s="518"/>
    </row>
    <row r="380">
      <c r="B380" s="138"/>
      <c r="T380" s="518"/>
    </row>
    <row r="381">
      <c r="B381" s="138"/>
      <c r="T381" s="518"/>
    </row>
    <row r="382">
      <c r="B382" s="138"/>
      <c r="T382" s="518"/>
    </row>
    <row r="383">
      <c r="B383" s="138"/>
      <c r="T383" s="518"/>
    </row>
    <row r="384">
      <c r="B384" s="138"/>
      <c r="T384" s="518"/>
    </row>
    <row r="385">
      <c r="B385" s="138"/>
      <c r="T385" s="518"/>
    </row>
    <row r="386">
      <c r="B386" s="138"/>
      <c r="T386" s="518"/>
    </row>
    <row r="387">
      <c r="B387" s="138"/>
      <c r="T387" s="518"/>
    </row>
    <row r="388">
      <c r="B388" s="138"/>
      <c r="T388" s="518"/>
    </row>
    <row r="389">
      <c r="B389" s="138"/>
      <c r="T389" s="518"/>
    </row>
    <row r="390">
      <c r="B390" s="138"/>
      <c r="T390" s="518"/>
    </row>
    <row r="391">
      <c r="B391" s="138"/>
      <c r="T391" s="518"/>
    </row>
    <row r="392">
      <c r="B392" s="138"/>
      <c r="T392" s="518"/>
    </row>
    <row r="393">
      <c r="B393" s="138"/>
      <c r="T393" s="518"/>
    </row>
    <row r="394">
      <c r="B394" s="138"/>
      <c r="T394" s="518"/>
    </row>
    <row r="395">
      <c r="B395" s="138"/>
      <c r="T395" s="518"/>
    </row>
    <row r="396">
      <c r="B396" s="138"/>
      <c r="T396" s="518"/>
    </row>
    <row r="397">
      <c r="B397" s="138"/>
      <c r="T397" s="518"/>
    </row>
    <row r="398">
      <c r="B398" s="138"/>
      <c r="T398" s="518"/>
    </row>
    <row r="399">
      <c r="B399" s="138"/>
      <c r="T399" s="518"/>
    </row>
    <row r="400">
      <c r="B400" s="138"/>
      <c r="T400" s="518"/>
    </row>
    <row r="401">
      <c r="B401" s="138"/>
      <c r="T401" s="518"/>
    </row>
    <row r="402">
      <c r="B402" s="138"/>
      <c r="T402" s="518"/>
    </row>
    <row r="403">
      <c r="B403" s="138"/>
      <c r="T403" s="518"/>
    </row>
    <row r="404">
      <c r="B404" s="138"/>
      <c r="T404" s="518"/>
    </row>
    <row r="405">
      <c r="B405" s="138"/>
      <c r="T405" s="518"/>
    </row>
    <row r="406">
      <c r="B406" s="138"/>
      <c r="T406" s="518"/>
    </row>
    <row r="407">
      <c r="B407" s="138"/>
      <c r="T407" s="518"/>
    </row>
    <row r="408">
      <c r="B408" s="138"/>
      <c r="T408" s="518"/>
    </row>
    <row r="409">
      <c r="B409" s="138"/>
      <c r="T409" s="518"/>
    </row>
    <row r="410">
      <c r="B410" s="138"/>
      <c r="T410" s="518"/>
    </row>
    <row r="411">
      <c r="B411" s="138"/>
      <c r="T411" s="518"/>
    </row>
    <row r="412">
      <c r="B412" s="138"/>
      <c r="T412" s="518"/>
    </row>
    <row r="413">
      <c r="B413" s="138"/>
      <c r="T413" s="518"/>
    </row>
    <row r="414">
      <c r="B414" s="138"/>
      <c r="T414" s="518"/>
    </row>
    <row r="415">
      <c r="B415" s="138"/>
      <c r="T415" s="518"/>
    </row>
    <row r="416">
      <c r="B416" s="138"/>
      <c r="T416" s="518"/>
    </row>
    <row r="417">
      <c r="B417" s="138"/>
      <c r="T417" s="518"/>
    </row>
    <row r="418">
      <c r="B418" s="138"/>
      <c r="T418" s="518"/>
    </row>
    <row r="419">
      <c r="B419" s="138"/>
      <c r="T419" s="518"/>
    </row>
    <row r="420">
      <c r="B420" s="138"/>
      <c r="T420" s="518"/>
    </row>
    <row r="421">
      <c r="B421" s="138"/>
      <c r="T421" s="518"/>
    </row>
    <row r="422">
      <c r="B422" s="138"/>
      <c r="T422" s="518"/>
    </row>
    <row r="423">
      <c r="B423" s="138"/>
      <c r="T423" s="518"/>
    </row>
    <row r="424">
      <c r="B424" s="138"/>
      <c r="T424" s="518"/>
    </row>
    <row r="425">
      <c r="B425" s="138"/>
      <c r="T425" s="518"/>
    </row>
    <row r="426">
      <c r="B426" s="138"/>
      <c r="T426" s="518"/>
    </row>
    <row r="427">
      <c r="B427" s="138"/>
      <c r="T427" s="518"/>
    </row>
    <row r="428">
      <c r="B428" s="138"/>
      <c r="T428" s="518"/>
    </row>
    <row r="429">
      <c r="B429" s="138"/>
      <c r="T429" s="518"/>
    </row>
    <row r="430">
      <c r="B430" s="138"/>
      <c r="T430" s="518"/>
    </row>
    <row r="431">
      <c r="B431" s="138"/>
      <c r="T431" s="518"/>
    </row>
    <row r="432">
      <c r="B432" s="138"/>
      <c r="T432" s="518"/>
    </row>
    <row r="433">
      <c r="B433" s="138"/>
      <c r="T433" s="518"/>
    </row>
    <row r="434">
      <c r="B434" s="138"/>
      <c r="T434" s="518"/>
    </row>
    <row r="435">
      <c r="B435" s="138"/>
      <c r="T435" s="518"/>
    </row>
    <row r="436">
      <c r="B436" s="138"/>
      <c r="T436" s="518"/>
    </row>
    <row r="437">
      <c r="B437" s="138"/>
      <c r="T437" s="518"/>
    </row>
    <row r="438">
      <c r="B438" s="138"/>
      <c r="T438" s="518"/>
    </row>
    <row r="439">
      <c r="B439" s="138"/>
      <c r="T439" s="518"/>
    </row>
    <row r="440">
      <c r="B440" s="138"/>
      <c r="T440" s="518"/>
    </row>
    <row r="441">
      <c r="B441" s="138"/>
      <c r="T441" s="518"/>
    </row>
    <row r="442">
      <c r="B442" s="138"/>
      <c r="T442" s="518"/>
    </row>
    <row r="443">
      <c r="B443" s="138"/>
      <c r="T443" s="518"/>
    </row>
    <row r="444">
      <c r="B444" s="138"/>
      <c r="T444" s="518"/>
    </row>
    <row r="445">
      <c r="B445" s="138"/>
      <c r="T445" s="518"/>
    </row>
    <row r="446">
      <c r="B446" s="138"/>
      <c r="T446" s="518"/>
    </row>
    <row r="447">
      <c r="B447" s="138"/>
      <c r="T447" s="518"/>
    </row>
    <row r="448">
      <c r="B448" s="138"/>
      <c r="T448" s="518"/>
    </row>
    <row r="449">
      <c r="B449" s="138"/>
      <c r="T449" s="518"/>
    </row>
    <row r="450">
      <c r="B450" s="138"/>
      <c r="T450" s="518"/>
    </row>
    <row r="451">
      <c r="B451" s="138"/>
      <c r="T451" s="518"/>
    </row>
    <row r="452">
      <c r="B452" s="138"/>
      <c r="T452" s="518"/>
    </row>
    <row r="453">
      <c r="B453" s="138"/>
      <c r="T453" s="518"/>
    </row>
    <row r="454">
      <c r="B454" s="138"/>
      <c r="T454" s="518"/>
    </row>
    <row r="455">
      <c r="B455" s="138"/>
      <c r="T455" s="518"/>
    </row>
    <row r="456">
      <c r="B456" s="138"/>
      <c r="T456" s="518"/>
    </row>
    <row r="457">
      <c r="B457" s="138"/>
      <c r="T457" s="518"/>
    </row>
    <row r="458">
      <c r="B458" s="138"/>
      <c r="T458" s="518"/>
    </row>
    <row r="459">
      <c r="B459" s="138"/>
      <c r="T459" s="518"/>
    </row>
    <row r="460">
      <c r="B460" s="138"/>
      <c r="T460" s="518"/>
    </row>
    <row r="461">
      <c r="B461" s="138"/>
      <c r="T461" s="518"/>
    </row>
    <row r="462">
      <c r="B462" s="138"/>
      <c r="T462" s="518"/>
    </row>
    <row r="463">
      <c r="B463" s="138"/>
      <c r="T463" s="518"/>
    </row>
    <row r="464">
      <c r="B464" s="138"/>
      <c r="T464" s="518"/>
    </row>
    <row r="465">
      <c r="B465" s="138"/>
      <c r="T465" s="518"/>
    </row>
    <row r="466">
      <c r="B466" s="138"/>
      <c r="T466" s="518"/>
    </row>
    <row r="467">
      <c r="B467" s="138"/>
      <c r="T467" s="518"/>
    </row>
    <row r="468">
      <c r="B468" s="138"/>
      <c r="T468" s="518"/>
    </row>
    <row r="469">
      <c r="B469" s="138"/>
      <c r="T469" s="518"/>
    </row>
    <row r="470">
      <c r="B470" s="138"/>
      <c r="T470" s="518"/>
    </row>
    <row r="471">
      <c r="B471" s="138"/>
      <c r="T471" s="518"/>
    </row>
    <row r="472">
      <c r="B472" s="138"/>
      <c r="T472" s="518"/>
    </row>
    <row r="473">
      <c r="B473" s="138"/>
      <c r="T473" s="518"/>
    </row>
    <row r="474">
      <c r="B474" s="138"/>
      <c r="T474" s="518"/>
    </row>
    <row r="475">
      <c r="B475" s="138"/>
      <c r="T475" s="518"/>
    </row>
    <row r="476">
      <c r="B476" s="138"/>
      <c r="T476" s="518"/>
    </row>
    <row r="477">
      <c r="B477" s="138"/>
      <c r="T477" s="518"/>
    </row>
    <row r="478">
      <c r="B478" s="138"/>
      <c r="T478" s="518"/>
    </row>
    <row r="479">
      <c r="B479" s="138"/>
      <c r="T479" s="518"/>
    </row>
    <row r="480">
      <c r="B480" s="138"/>
      <c r="T480" s="518"/>
    </row>
    <row r="481">
      <c r="B481" s="138"/>
      <c r="T481" s="518"/>
    </row>
    <row r="482">
      <c r="B482" s="138"/>
      <c r="T482" s="518"/>
    </row>
    <row r="483">
      <c r="B483" s="138"/>
      <c r="T483" s="518"/>
    </row>
    <row r="484">
      <c r="B484" s="138"/>
      <c r="T484" s="518"/>
    </row>
    <row r="485">
      <c r="B485" s="138"/>
      <c r="T485" s="518"/>
    </row>
    <row r="486">
      <c r="B486" s="138"/>
      <c r="T486" s="518"/>
    </row>
    <row r="487">
      <c r="B487" s="138"/>
      <c r="T487" s="518"/>
    </row>
    <row r="488">
      <c r="B488" s="138"/>
      <c r="T488" s="518"/>
    </row>
    <row r="489">
      <c r="B489" s="138"/>
      <c r="T489" s="518"/>
    </row>
    <row r="490">
      <c r="B490" s="138"/>
      <c r="T490" s="518"/>
    </row>
    <row r="491">
      <c r="B491" s="138"/>
      <c r="T491" s="518"/>
    </row>
    <row r="492">
      <c r="B492" s="138"/>
      <c r="T492" s="518"/>
    </row>
    <row r="493">
      <c r="B493" s="138"/>
      <c r="T493" s="518"/>
    </row>
    <row r="494">
      <c r="B494" s="138"/>
      <c r="T494" s="518"/>
    </row>
    <row r="495">
      <c r="B495" s="138"/>
      <c r="T495" s="518"/>
    </row>
    <row r="496">
      <c r="B496" s="138"/>
      <c r="T496" s="518"/>
    </row>
    <row r="497">
      <c r="B497" s="138"/>
      <c r="T497" s="518"/>
    </row>
    <row r="498">
      <c r="B498" s="138"/>
      <c r="T498" s="518"/>
    </row>
    <row r="499">
      <c r="B499" s="138"/>
      <c r="T499" s="518"/>
    </row>
    <row r="500">
      <c r="B500" s="138"/>
      <c r="T500" s="518"/>
    </row>
    <row r="501">
      <c r="B501" s="138"/>
      <c r="T501" s="518"/>
    </row>
    <row r="502">
      <c r="B502" s="138"/>
      <c r="T502" s="518"/>
    </row>
    <row r="503">
      <c r="B503" s="138"/>
      <c r="T503" s="518"/>
    </row>
    <row r="504">
      <c r="B504" s="138"/>
      <c r="T504" s="518"/>
    </row>
    <row r="505">
      <c r="B505" s="138"/>
      <c r="T505" s="518"/>
    </row>
    <row r="506">
      <c r="B506" s="138"/>
      <c r="T506" s="518"/>
    </row>
    <row r="507">
      <c r="B507" s="138"/>
      <c r="T507" s="518"/>
    </row>
    <row r="508">
      <c r="B508" s="138"/>
      <c r="T508" s="518"/>
    </row>
    <row r="509">
      <c r="B509" s="138"/>
      <c r="T509" s="518"/>
    </row>
    <row r="510">
      <c r="B510" s="138"/>
      <c r="T510" s="518"/>
    </row>
    <row r="511">
      <c r="B511" s="138"/>
      <c r="T511" s="518"/>
    </row>
    <row r="512">
      <c r="B512" s="138"/>
      <c r="T512" s="518"/>
    </row>
    <row r="513">
      <c r="B513" s="138"/>
      <c r="T513" s="518"/>
    </row>
    <row r="514">
      <c r="B514" s="138"/>
      <c r="T514" s="518"/>
    </row>
    <row r="515">
      <c r="B515" s="138"/>
      <c r="T515" s="518"/>
    </row>
    <row r="516">
      <c r="B516" s="138"/>
      <c r="T516" s="518"/>
    </row>
    <row r="517">
      <c r="B517" s="138"/>
      <c r="T517" s="518"/>
    </row>
    <row r="518">
      <c r="B518" s="138"/>
      <c r="T518" s="518"/>
    </row>
    <row r="519">
      <c r="B519" s="138"/>
      <c r="T519" s="518"/>
    </row>
    <row r="520">
      <c r="B520" s="138"/>
      <c r="T520" s="518"/>
    </row>
    <row r="521">
      <c r="B521" s="138"/>
      <c r="T521" s="518"/>
    </row>
    <row r="522">
      <c r="B522" s="138"/>
      <c r="T522" s="518"/>
    </row>
    <row r="523">
      <c r="B523" s="138"/>
      <c r="T523" s="518"/>
    </row>
    <row r="524">
      <c r="B524" s="138"/>
      <c r="T524" s="518"/>
    </row>
    <row r="525">
      <c r="B525" s="138"/>
      <c r="T525" s="518"/>
    </row>
    <row r="526">
      <c r="B526" s="138"/>
      <c r="T526" s="518"/>
    </row>
    <row r="527">
      <c r="B527" s="138"/>
      <c r="T527" s="518"/>
    </row>
    <row r="528">
      <c r="B528" s="138"/>
      <c r="T528" s="518"/>
    </row>
    <row r="529">
      <c r="B529" s="138"/>
      <c r="T529" s="518"/>
    </row>
    <row r="530">
      <c r="B530" s="138"/>
      <c r="T530" s="518"/>
    </row>
    <row r="531">
      <c r="B531" s="138"/>
      <c r="T531" s="518"/>
    </row>
    <row r="532">
      <c r="B532" s="138"/>
      <c r="T532" s="518"/>
    </row>
    <row r="533">
      <c r="B533" s="138"/>
      <c r="T533" s="518"/>
    </row>
    <row r="534">
      <c r="B534" s="138"/>
      <c r="T534" s="518"/>
    </row>
    <row r="535">
      <c r="B535" s="138"/>
      <c r="T535" s="518"/>
    </row>
    <row r="536">
      <c r="B536" s="138"/>
      <c r="T536" s="518"/>
    </row>
    <row r="537">
      <c r="B537" s="138"/>
      <c r="T537" s="518"/>
    </row>
    <row r="538">
      <c r="B538" s="138"/>
      <c r="T538" s="518"/>
    </row>
    <row r="539">
      <c r="B539" s="138"/>
      <c r="T539" s="518"/>
    </row>
    <row r="540">
      <c r="B540" s="138"/>
      <c r="T540" s="518"/>
    </row>
    <row r="541">
      <c r="B541" s="138"/>
      <c r="T541" s="518"/>
    </row>
    <row r="542">
      <c r="B542" s="138"/>
      <c r="T542" s="518"/>
    </row>
    <row r="543">
      <c r="B543" s="138"/>
      <c r="T543" s="518"/>
    </row>
    <row r="544">
      <c r="B544" s="138"/>
      <c r="T544" s="518"/>
    </row>
    <row r="545">
      <c r="B545" s="138"/>
      <c r="T545" s="518"/>
    </row>
    <row r="546">
      <c r="B546" s="138"/>
      <c r="T546" s="518"/>
    </row>
    <row r="547">
      <c r="B547" s="138"/>
      <c r="T547" s="518"/>
    </row>
    <row r="548">
      <c r="B548" s="138"/>
      <c r="T548" s="518"/>
    </row>
    <row r="549">
      <c r="B549" s="138"/>
      <c r="T549" s="518"/>
    </row>
    <row r="550">
      <c r="B550" s="138"/>
      <c r="T550" s="518"/>
    </row>
    <row r="551">
      <c r="B551" s="138"/>
      <c r="T551" s="518"/>
    </row>
    <row r="552">
      <c r="B552" s="138"/>
      <c r="T552" s="518"/>
    </row>
    <row r="553">
      <c r="B553" s="138"/>
      <c r="T553" s="518"/>
    </row>
    <row r="554">
      <c r="B554" s="138"/>
      <c r="T554" s="518"/>
    </row>
    <row r="555">
      <c r="B555" s="138"/>
      <c r="T555" s="518"/>
    </row>
    <row r="556">
      <c r="B556" s="138"/>
      <c r="T556" s="518"/>
    </row>
    <row r="557">
      <c r="B557" s="138"/>
      <c r="T557" s="518"/>
    </row>
    <row r="558">
      <c r="B558" s="138"/>
      <c r="T558" s="518"/>
    </row>
    <row r="559">
      <c r="B559" s="138"/>
      <c r="T559" s="518"/>
    </row>
    <row r="560">
      <c r="B560" s="138"/>
      <c r="T560" s="518"/>
    </row>
    <row r="561">
      <c r="B561" s="138"/>
      <c r="T561" s="518"/>
    </row>
    <row r="562">
      <c r="B562" s="138"/>
      <c r="T562" s="518"/>
    </row>
    <row r="563">
      <c r="B563" s="138"/>
      <c r="T563" s="518"/>
    </row>
    <row r="564">
      <c r="B564" s="138"/>
      <c r="T564" s="518"/>
    </row>
    <row r="565">
      <c r="B565" s="138"/>
      <c r="T565" s="518"/>
    </row>
    <row r="566">
      <c r="B566" s="138"/>
      <c r="T566" s="518"/>
    </row>
    <row r="567">
      <c r="B567" s="138"/>
      <c r="T567" s="518"/>
    </row>
    <row r="568">
      <c r="B568" s="138"/>
      <c r="T568" s="518"/>
    </row>
    <row r="569">
      <c r="B569" s="138"/>
      <c r="T569" s="518"/>
    </row>
    <row r="570">
      <c r="B570" s="138"/>
      <c r="T570" s="518"/>
    </row>
    <row r="571">
      <c r="B571" s="138"/>
      <c r="T571" s="518"/>
    </row>
    <row r="572">
      <c r="B572" s="138"/>
      <c r="T572" s="518"/>
    </row>
    <row r="573">
      <c r="B573" s="138"/>
      <c r="T573" s="518"/>
    </row>
    <row r="574">
      <c r="B574" s="138"/>
      <c r="T574" s="518"/>
    </row>
    <row r="575">
      <c r="B575" s="138"/>
      <c r="T575" s="518"/>
    </row>
    <row r="576">
      <c r="B576" s="138"/>
      <c r="T576" s="518"/>
    </row>
    <row r="577">
      <c r="B577" s="138"/>
      <c r="T577" s="518"/>
    </row>
    <row r="578">
      <c r="B578" s="138"/>
      <c r="T578" s="518"/>
    </row>
    <row r="579">
      <c r="B579" s="138"/>
      <c r="T579" s="518"/>
    </row>
    <row r="580">
      <c r="B580" s="138"/>
      <c r="T580" s="518"/>
    </row>
    <row r="581">
      <c r="B581" s="138"/>
      <c r="T581" s="518"/>
    </row>
    <row r="582">
      <c r="B582" s="138"/>
      <c r="T582" s="518"/>
    </row>
    <row r="583">
      <c r="B583" s="138"/>
      <c r="T583" s="518"/>
    </row>
    <row r="584">
      <c r="B584" s="138"/>
      <c r="T584" s="518"/>
    </row>
    <row r="585">
      <c r="B585" s="138"/>
      <c r="T585" s="518"/>
    </row>
    <row r="586">
      <c r="B586" s="138"/>
      <c r="T586" s="518"/>
    </row>
    <row r="587">
      <c r="B587" s="138"/>
      <c r="T587" s="518"/>
    </row>
    <row r="588">
      <c r="B588" s="138"/>
      <c r="T588" s="518"/>
    </row>
    <row r="589">
      <c r="B589" s="138"/>
      <c r="T589" s="518"/>
    </row>
    <row r="590">
      <c r="B590" s="138"/>
      <c r="T590" s="518"/>
    </row>
    <row r="591">
      <c r="B591" s="138"/>
      <c r="T591" s="518"/>
    </row>
    <row r="592">
      <c r="B592" s="138"/>
      <c r="T592" s="518"/>
    </row>
    <row r="593">
      <c r="B593" s="138"/>
      <c r="T593" s="518"/>
    </row>
    <row r="594">
      <c r="B594" s="138"/>
      <c r="T594" s="518"/>
    </row>
    <row r="595">
      <c r="B595" s="138"/>
      <c r="T595" s="518"/>
    </row>
    <row r="596">
      <c r="B596" s="138"/>
      <c r="T596" s="518"/>
    </row>
    <row r="597">
      <c r="B597" s="138"/>
      <c r="T597" s="518"/>
    </row>
    <row r="598">
      <c r="B598" s="138"/>
      <c r="T598" s="518"/>
    </row>
    <row r="599">
      <c r="B599" s="138"/>
      <c r="T599" s="518"/>
    </row>
    <row r="600">
      <c r="B600" s="138"/>
      <c r="T600" s="518"/>
    </row>
    <row r="601">
      <c r="B601" s="138"/>
      <c r="T601" s="518"/>
    </row>
    <row r="602">
      <c r="B602" s="138"/>
      <c r="T602" s="518"/>
    </row>
    <row r="603">
      <c r="B603" s="138"/>
      <c r="T603" s="518"/>
    </row>
    <row r="604">
      <c r="B604" s="138"/>
      <c r="T604" s="518"/>
    </row>
    <row r="605">
      <c r="B605" s="138"/>
      <c r="T605" s="518"/>
    </row>
    <row r="606">
      <c r="B606" s="138"/>
      <c r="T606" s="518"/>
    </row>
    <row r="607">
      <c r="B607" s="138"/>
      <c r="T607" s="518"/>
    </row>
    <row r="608">
      <c r="B608" s="138"/>
      <c r="T608" s="518"/>
    </row>
    <row r="609">
      <c r="B609" s="138"/>
      <c r="T609" s="518"/>
    </row>
    <row r="610">
      <c r="B610" s="138"/>
      <c r="T610" s="518"/>
    </row>
    <row r="611">
      <c r="B611" s="138"/>
      <c r="T611" s="518"/>
    </row>
    <row r="612">
      <c r="B612" s="138"/>
      <c r="T612" s="518"/>
    </row>
    <row r="613">
      <c r="B613" s="138"/>
      <c r="T613" s="518"/>
    </row>
    <row r="614">
      <c r="B614" s="138"/>
      <c r="T614" s="518"/>
    </row>
    <row r="615">
      <c r="B615" s="138"/>
      <c r="T615" s="518"/>
    </row>
    <row r="616">
      <c r="B616" s="138"/>
      <c r="T616" s="518"/>
    </row>
    <row r="617">
      <c r="B617" s="138"/>
      <c r="T617" s="518"/>
    </row>
    <row r="618">
      <c r="B618" s="138"/>
      <c r="T618" s="518"/>
    </row>
    <row r="619">
      <c r="B619" s="138"/>
      <c r="T619" s="518"/>
    </row>
    <row r="620">
      <c r="B620" s="138"/>
      <c r="T620" s="518"/>
    </row>
    <row r="621">
      <c r="B621" s="138"/>
      <c r="T621" s="518"/>
    </row>
    <row r="622">
      <c r="B622" s="138"/>
      <c r="T622" s="518"/>
    </row>
    <row r="623">
      <c r="B623" s="138"/>
      <c r="T623" s="518"/>
    </row>
    <row r="624">
      <c r="B624" s="138"/>
      <c r="T624" s="518"/>
    </row>
    <row r="625">
      <c r="B625" s="138"/>
      <c r="T625" s="518"/>
    </row>
    <row r="626">
      <c r="B626" s="138"/>
      <c r="T626" s="518"/>
    </row>
    <row r="627">
      <c r="B627" s="138"/>
      <c r="T627" s="518"/>
    </row>
    <row r="628">
      <c r="B628" s="138"/>
      <c r="T628" s="518"/>
    </row>
    <row r="629">
      <c r="B629" s="138"/>
      <c r="T629" s="518"/>
    </row>
    <row r="630">
      <c r="B630" s="138"/>
      <c r="T630" s="518"/>
    </row>
    <row r="631">
      <c r="B631" s="138"/>
      <c r="T631" s="518"/>
    </row>
    <row r="632">
      <c r="B632" s="138"/>
      <c r="T632" s="518"/>
    </row>
    <row r="633">
      <c r="B633" s="138"/>
      <c r="T633" s="518"/>
    </row>
    <row r="634">
      <c r="B634" s="138"/>
      <c r="T634" s="518"/>
    </row>
    <row r="635">
      <c r="B635" s="138"/>
      <c r="T635" s="518"/>
    </row>
    <row r="636">
      <c r="B636" s="138"/>
      <c r="T636" s="518"/>
    </row>
    <row r="637">
      <c r="B637" s="138"/>
      <c r="T637" s="518"/>
    </row>
    <row r="638">
      <c r="B638" s="138"/>
      <c r="T638" s="518"/>
    </row>
    <row r="639">
      <c r="B639" s="138"/>
      <c r="T639" s="518"/>
    </row>
    <row r="640">
      <c r="B640" s="138"/>
      <c r="T640" s="518"/>
    </row>
    <row r="641">
      <c r="B641" s="138"/>
      <c r="T641" s="518"/>
    </row>
    <row r="642">
      <c r="B642" s="138"/>
      <c r="T642" s="518"/>
    </row>
    <row r="643">
      <c r="B643" s="138"/>
      <c r="T643" s="518"/>
    </row>
    <row r="644">
      <c r="B644" s="138"/>
      <c r="T644" s="518"/>
    </row>
    <row r="645">
      <c r="B645" s="138"/>
      <c r="T645" s="518"/>
    </row>
    <row r="646">
      <c r="B646" s="138"/>
      <c r="T646" s="518"/>
    </row>
    <row r="647">
      <c r="B647" s="138"/>
      <c r="T647" s="518"/>
    </row>
    <row r="648">
      <c r="B648" s="138"/>
      <c r="T648" s="518"/>
    </row>
    <row r="649">
      <c r="B649" s="138"/>
      <c r="T649" s="518"/>
    </row>
    <row r="650">
      <c r="B650" s="138"/>
      <c r="T650" s="518"/>
    </row>
    <row r="651">
      <c r="B651" s="138"/>
      <c r="T651" s="518"/>
    </row>
    <row r="652">
      <c r="B652" s="138"/>
      <c r="T652" s="518"/>
    </row>
    <row r="653">
      <c r="B653" s="138"/>
      <c r="T653" s="518"/>
    </row>
    <row r="654">
      <c r="B654" s="138"/>
      <c r="T654" s="518"/>
    </row>
    <row r="655">
      <c r="B655" s="138"/>
      <c r="T655" s="518"/>
    </row>
    <row r="656">
      <c r="B656" s="138"/>
      <c r="T656" s="518"/>
    </row>
    <row r="657">
      <c r="B657" s="138"/>
      <c r="T657" s="518"/>
    </row>
    <row r="658">
      <c r="B658" s="138"/>
      <c r="T658" s="518"/>
    </row>
    <row r="659">
      <c r="B659" s="138"/>
      <c r="T659" s="518"/>
    </row>
    <row r="660">
      <c r="B660" s="138"/>
      <c r="T660" s="518"/>
    </row>
    <row r="661">
      <c r="B661" s="138"/>
      <c r="T661" s="518"/>
    </row>
    <row r="662">
      <c r="B662" s="138"/>
      <c r="T662" s="518"/>
    </row>
    <row r="663">
      <c r="B663" s="138"/>
      <c r="T663" s="518"/>
    </row>
    <row r="664">
      <c r="B664" s="138"/>
      <c r="T664" s="518"/>
    </row>
    <row r="665">
      <c r="B665" s="138"/>
      <c r="T665" s="518"/>
    </row>
    <row r="666">
      <c r="B666" s="138"/>
      <c r="T666" s="518"/>
    </row>
    <row r="667">
      <c r="B667" s="138"/>
      <c r="T667" s="518"/>
    </row>
    <row r="668">
      <c r="B668" s="138"/>
      <c r="T668" s="518"/>
    </row>
    <row r="669">
      <c r="B669" s="138"/>
      <c r="T669" s="518"/>
    </row>
    <row r="670">
      <c r="B670" s="138"/>
      <c r="T670" s="518"/>
    </row>
    <row r="671">
      <c r="B671" s="138"/>
      <c r="T671" s="518"/>
    </row>
    <row r="672">
      <c r="B672" s="138"/>
      <c r="T672" s="518"/>
    </row>
    <row r="673">
      <c r="B673" s="138"/>
      <c r="T673" s="518"/>
    </row>
    <row r="674">
      <c r="B674" s="138"/>
      <c r="T674" s="518"/>
    </row>
    <row r="675">
      <c r="B675" s="138"/>
      <c r="T675" s="518"/>
    </row>
    <row r="676">
      <c r="B676" s="138"/>
      <c r="T676" s="518"/>
    </row>
    <row r="677">
      <c r="B677" s="138"/>
      <c r="T677" s="518"/>
    </row>
    <row r="678">
      <c r="B678" s="138"/>
      <c r="T678" s="518"/>
    </row>
    <row r="679">
      <c r="B679" s="138"/>
      <c r="T679" s="518"/>
    </row>
    <row r="680">
      <c r="B680" s="138"/>
      <c r="T680" s="518"/>
    </row>
    <row r="681">
      <c r="B681" s="138"/>
      <c r="T681" s="518"/>
    </row>
    <row r="682">
      <c r="B682" s="138"/>
      <c r="T682" s="518"/>
    </row>
    <row r="683">
      <c r="B683" s="138"/>
      <c r="T683" s="518"/>
    </row>
    <row r="684">
      <c r="B684" s="138"/>
      <c r="T684" s="518"/>
    </row>
    <row r="685">
      <c r="B685" s="138"/>
      <c r="T685" s="518"/>
    </row>
    <row r="686">
      <c r="B686" s="138"/>
      <c r="T686" s="518"/>
    </row>
    <row r="687">
      <c r="B687" s="138"/>
      <c r="T687" s="518"/>
    </row>
    <row r="688">
      <c r="B688" s="138"/>
      <c r="T688" s="518"/>
    </row>
    <row r="689">
      <c r="B689" s="138"/>
      <c r="T689" s="518"/>
    </row>
    <row r="690">
      <c r="B690" s="138"/>
      <c r="T690" s="518"/>
    </row>
    <row r="691">
      <c r="B691" s="138"/>
      <c r="T691" s="518"/>
    </row>
    <row r="692">
      <c r="B692" s="138"/>
      <c r="T692" s="518"/>
    </row>
    <row r="693">
      <c r="B693" s="138"/>
      <c r="T693" s="518"/>
    </row>
    <row r="694">
      <c r="B694" s="138"/>
      <c r="T694" s="518"/>
    </row>
    <row r="695">
      <c r="B695" s="138"/>
      <c r="T695" s="518"/>
    </row>
    <row r="696">
      <c r="B696" s="138"/>
      <c r="T696" s="518"/>
    </row>
    <row r="697">
      <c r="B697" s="138"/>
      <c r="T697" s="518"/>
    </row>
    <row r="698">
      <c r="B698" s="138"/>
      <c r="T698" s="518"/>
    </row>
    <row r="699">
      <c r="B699" s="138"/>
      <c r="T699" s="518"/>
    </row>
    <row r="700">
      <c r="B700" s="138"/>
      <c r="T700" s="518"/>
    </row>
    <row r="701">
      <c r="B701" s="138"/>
      <c r="T701" s="518"/>
    </row>
    <row r="702">
      <c r="B702" s="138"/>
      <c r="T702" s="518"/>
    </row>
    <row r="703">
      <c r="B703" s="138"/>
      <c r="T703" s="518"/>
    </row>
    <row r="704">
      <c r="B704" s="138"/>
      <c r="T704" s="518"/>
    </row>
    <row r="705">
      <c r="B705" s="138"/>
      <c r="T705" s="518"/>
    </row>
    <row r="706">
      <c r="B706" s="138"/>
      <c r="T706" s="518"/>
    </row>
    <row r="707">
      <c r="B707" s="138"/>
      <c r="T707" s="518"/>
    </row>
    <row r="708">
      <c r="B708" s="138"/>
      <c r="T708" s="518"/>
    </row>
    <row r="709">
      <c r="B709" s="138"/>
      <c r="T709" s="518"/>
    </row>
    <row r="710">
      <c r="B710" s="138"/>
      <c r="T710" s="518"/>
    </row>
    <row r="711">
      <c r="B711" s="138"/>
      <c r="T711" s="518"/>
    </row>
    <row r="712">
      <c r="B712" s="138"/>
      <c r="T712" s="518"/>
    </row>
    <row r="713">
      <c r="B713" s="138"/>
      <c r="T713" s="518"/>
    </row>
    <row r="714">
      <c r="B714" s="138"/>
      <c r="T714" s="518"/>
    </row>
    <row r="715">
      <c r="B715" s="138"/>
      <c r="T715" s="518"/>
    </row>
    <row r="716">
      <c r="B716" s="138"/>
      <c r="T716" s="518"/>
    </row>
    <row r="717">
      <c r="B717" s="138"/>
      <c r="T717" s="518"/>
    </row>
    <row r="718">
      <c r="B718" s="138"/>
      <c r="T718" s="518"/>
    </row>
    <row r="719">
      <c r="B719" s="138"/>
      <c r="T719" s="518"/>
    </row>
    <row r="720">
      <c r="B720" s="138"/>
      <c r="T720" s="518"/>
    </row>
    <row r="721">
      <c r="B721" s="138"/>
      <c r="T721" s="518"/>
    </row>
    <row r="722">
      <c r="B722" s="138"/>
      <c r="T722" s="518"/>
    </row>
    <row r="723">
      <c r="B723" s="138"/>
      <c r="T723" s="518"/>
    </row>
    <row r="724">
      <c r="B724" s="138"/>
      <c r="T724" s="518"/>
    </row>
    <row r="725">
      <c r="B725" s="138"/>
      <c r="T725" s="518"/>
    </row>
    <row r="726">
      <c r="B726" s="138"/>
      <c r="T726" s="518"/>
    </row>
    <row r="727">
      <c r="B727" s="138"/>
      <c r="T727" s="518"/>
    </row>
    <row r="728">
      <c r="B728" s="138"/>
      <c r="T728" s="518"/>
    </row>
    <row r="729">
      <c r="B729" s="138"/>
      <c r="T729" s="518"/>
    </row>
    <row r="730">
      <c r="B730" s="138"/>
      <c r="T730" s="518"/>
    </row>
    <row r="731">
      <c r="B731" s="138"/>
      <c r="T731" s="518"/>
    </row>
    <row r="732">
      <c r="B732" s="138"/>
      <c r="T732" s="518"/>
    </row>
    <row r="733">
      <c r="B733" s="138"/>
      <c r="T733" s="518"/>
    </row>
    <row r="734">
      <c r="B734" s="138"/>
      <c r="T734" s="518"/>
    </row>
    <row r="735">
      <c r="B735" s="138"/>
      <c r="T735" s="518"/>
    </row>
    <row r="736">
      <c r="B736" s="138"/>
      <c r="T736" s="518"/>
    </row>
    <row r="737">
      <c r="B737" s="138"/>
      <c r="T737" s="518"/>
    </row>
    <row r="738">
      <c r="B738" s="138"/>
      <c r="T738" s="518"/>
    </row>
    <row r="739">
      <c r="B739" s="138"/>
      <c r="T739" s="518"/>
    </row>
    <row r="740">
      <c r="B740" s="138"/>
      <c r="T740" s="518"/>
    </row>
    <row r="741">
      <c r="B741" s="138"/>
      <c r="T741" s="518"/>
    </row>
    <row r="742">
      <c r="B742" s="138"/>
      <c r="T742" s="518"/>
    </row>
    <row r="743">
      <c r="B743" s="138"/>
      <c r="T743" s="518"/>
    </row>
    <row r="744">
      <c r="B744" s="138"/>
      <c r="T744" s="518"/>
    </row>
    <row r="745">
      <c r="B745" s="138"/>
      <c r="T745" s="518"/>
    </row>
    <row r="746">
      <c r="B746" s="138"/>
      <c r="T746" s="518"/>
    </row>
    <row r="747">
      <c r="B747" s="138"/>
      <c r="T747" s="518"/>
    </row>
    <row r="748">
      <c r="B748" s="138"/>
      <c r="T748" s="518"/>
    </row>
    <row r="749">
      <c r="B749" s="138"/>
      <c r="T749" s="518"/>
    </row>
    <row r="750">
      <c r="B750" s="138"/>
      <c r="T750" s="518"/>
    </row>
    <row r="751">
      <c r="B751" s="138"/>
      <c r="T751" s="518"/>
    </row>
    <row r="752">
      <c r="B752" s="138"/>
      <c r="T752" s="518"/>
    </row>
    <row r="753">
      <c r="B753" s="138"/>
      <c r="T753" s="518"/>
    </row>
    <row r="754">
      <c r="B754" s="138"/>
      <c r="T754" s="518"/>
    </row>
    <row r="755">
      <c r="B755" s="138"/>
      <c r="T755" s="518"/>
    </row>
    <row r="756">
      <c r="B756" s="138"/>
      <c r="T756" s="518"/>
    </row>
    <row r="757">
      <c r="B757" s="138"/>
      <c r="T757" s="518"/>
    </row>
    <row r="758">
      <c r="B758" s="138"/>
      <c r="T758" s="518"/>
    </row>
    <row r="759">
      <c r="B759" s="138"/>
      <c r="T759" s="518"/>
    </row>
    <row r="760">
      <c r="B760" s="138"/>
      <c r="T760" s="518"/>
    </row>
    <row r="761">
      <c r="B761" s="138"/>
      <c r="T761" s="518"/>
    </row>
    <row r="762">
      <c r="B762" s="138"/>
      <c r="T762" s="518"/>
    </row>
    <row r="763">
      <c r="B763" s="138"/>
      <c r="T763" s="518"/>
    </row>
    <row r="764">
      <c r="B764" s="138"/>
      <c r="T764" s="518"/>
    </row>
    <row r="765">
      <c r="B765" s="138"/>
      <c r="T765" s="518"/>
    </row>
    <row r="766">
      <c r="B766" s="138"/>
      <c r="T766" s="518"/>
    </row>
    <row r="767">
      <c r="B767" s="138"/>
      <c r="T767" s="518"/>
    </row>
    <row r="768">
      <c r="B768" s="138"/>
      <c r="T768" s="518"/>
    </row>
    <row r="769">
      <c r="B769" s="138"/>
      <c r="T769" s="518"/>
    </row>
    <row r="770">
      <c r="B770" s="138"/>
      <c r="T770" s="518"/>
    </row>
    <row r="771">
      <c r="B771" s="138"/>
      <c r="T771" s="518"/>
    </row>
    <row r="772">
      <c r="B772" s="138"/>
      <c r="T772" s="518"/>
    </row>
    <row r="773">
      <c r="B773" s="138"/>
      <c r="T773" s="518"/>
    </row>
    <row r="774">
      <c r="B774" s="138"/>
      <c r="T774" s="518"/>
    </row>
    <row r="775">
      <c r="B775" s="138"/>
      <c r="T775" s="518"/>
    </row>
    <row r="776">
      <c r="B776" s="138"/>
      <c r="T776" s="518"/>
    </row>
    <row r="777">
      <c r="B777" s="138"/>
      <c r="T777" s="518"/>
    </row>
    <row r="778">
      <c r="B778" s="138"/>
      <c r="T778" s="518"/>
    </row>
    <row r="779">
      <c r="B779" s="138"/>
      <c r="T779" s="518"/>
    </row>
    <row r="780">
      <c r="B780" s="138"/>
      <c r="T780" s="518"/>
    </row>
    <row r="781">
      <c r="B781" s="138"/>
      <c r="T781" s="518"/>
    </row>
    <row r="782">
      <c r="B782" s="138"/>
      <c r="T782" s="518"/>
    </row>
    <row r="783">
      <c r="B783" s="138"/>
      <c r="T783" s="518"/>
    </row>
    <row r="784">
      <c r="B784" s="138"/>
      <c r="T784" s="518"/>
    </row>
    <row r="785">
      <c r="B785" s="138"/>
      <c r="T785" s="518"/>
    </row>
    <row r="786">
      <c r="B786" s="138"/>
      <c r="T786" s="518"/>
    </row>
    <row r="787">
      <c r="B787" s="138"/>
      <c r="T787" s="518"/>
    </row>
    <row r="788">
      <c r="B788" s="138"/>
      <c r="T788" s="518"/>
    </row>
    <row r="789">
      <c r="B789" s="138"/>
      <c r="T789" s="518"/>
    </row>
    <row r="790">
      <c r="B790" s="138"/>
      <c r="T790" s="518"/>
    </row>
    <row r="791">
      <c r="B791" s="138"/>
      <c r="T791" s="518"/>
    </row>
    <row r="792">
      <c r="B792" s="138"/>
      <c r="T792" s="518"/>
    </row>
    <row r="793">
      <c r="B793" s="138"/>
      <c r="T793" s="518"/>
    </row>
    <row r="794">
      <c r="B794" s="138"/>
      <c r="T794" s="518"/>
    </row>
    <row r="795">
      <c r="B795" s="138"/>
      <c r="T795" s="518"/>
    </row>
    <row r="796">
      <c r="B796" s="138"/>
      <c r="T796" s="518"/>
    </row>
    <row r="797">
      <c r="B797" s="138"/>
      <c r="T797" s="518"/>
    </row>
    <row r="798">
      <c r="B798" s="138"/>
      <c r="T798" s="518"/>
    </row>
    <row r="799">
      <c r="B799" s="138"/>
      <c r="T799" s="518"/>
    </row>
    <row r="800">
      <c r="B800" s="138"/>
      <c r="T800" s="518"/>
    </row>
    <row r="801">
      <c r="B801" s="138"/>
      <c r="T801" s="518"/>
    </row>
    <row r="802">
      <c r="B802" s="138"/>
      <c r="T802" s="518"/>
    </row>
    <row r="803">
      <c r="B803" s="138"/>
      <c r="T803" s="518"/>
    </row>
    <row r="804">
      <c r="B804" s="138"/>
      <c r="T804" s="518"/>
    </row>
    <row r="805">
      <c r="B805" s="138"/>
      <c r="T805" s="518"/>
    </row>
    <row r="806">
      <c r="B806" s="138"/>
      <c r="T806" s="518"/>
    </row>
    <row r="807">
      <c r="B807" s="138"/>
      <c r="T807" s="518"/>
    </row>
    <row r="808">
      <c r="B808" s="138"/>
      <c r="T808" s="518"/>
    </row>
    <row r="809">
      <c r="B809" s="138"/>
      <c r="T809" s="518"/>
    </row>
    <row r="810">
      <c r="B810" s="138"/>
      <c r="T810" s="518"/>
    </row>
    <row r="811">
      <c r="B811" s="138"/>
      <c r="T811" s="518"/>
    </row>
    <row r="812">
      <c r="B812" s="138"/>
      <c r="T812" s="518"/>
    </row>
    <row r="813">
      <c r="B813" s="138"/>
      <c r="T813" s="518"/>
    </row>
    <row r="814">
      <c r="B814" s="138"/>
      <c r="T814" s="518"/>
    </row>
    <row r="815">
      <c r="B815" s="138"/>
      <c r="T815" s="518"/>
    </row>
    <row r="816">
      <c r="B816" s="138"/>
      <c r="T816" s="518"/>
    </row>
    <row r="817">
      <c r="B817" s="138"/>
      <c r="T817" s="518"/>
    </row>
    <row r="818">
      <c r="B818" s="138"/>
      <c r="T818" s="518"/>
    </row>
    <row r="819">
      <c r="B819" s="138"/>
      <c r="T819" s="518"/>
    </row>
    <row r="820">
      <c r="B820" s="138"/>
      <c r="T820" s="518"/>
    </row>
    <row r="821">
      <c r="B821" s="138"/>
      <c r="T821" s="518"/>
    </row>
    <row r="822">
      <c r="B822" s="138"/>
      <c r="T822" s="518"/>
    </row>
    <row r="823">
      <c r="B823" s="138"/>
      <c r="T823" s="518"/>
    </row>
    <row r="824">
      <c r="B824" s="138"/>
      <c r="T824" s="518"/>
    </row>
    <row r="825">
      <c r="B825" s="138"/>
      <c r="T825" s="518"/>
    </row>
    <row r="826">
      <c r="B826" s="138"/>
      <c r="T826" s="518"/>
    </row>
    <row r="827">
      <c r="B827" s="138"/>
      <c r="T827" s="518"/>
    </row>
    <row r="828">
      <c r="B828" s="138"/>
      <c r="T828" s="518"/>
    </row>
    <row r="829">
      <c r="B829" s="138"/>
      <c r="T829" s="518"/>
    </row>
    <row r="830">
      <c r="B830" s="138"/>
      <c r="T830" s="518"/>
    </row>
    <row r="831">
      <c r="B831" s="138"/>
      <c r="T831" s="518"/>
    </row>
    <row r="832">
      <c r="B832" s="138"/>
      <c r="T832" s="518"/>
    </row>
    <row r="833">
      <c r="B833" s="138"/>
      <c r="T833" s="518"/>
    </row>
    <row r="834">
      <c r="B834" s="138"/>
      <c r="T834" s="518"/>
    </row>
    <row r="835">
      <c r="B835" s="138"/>
      <c r="T835" s="518"/>
    </row>
    <row r="836">
      <c r="B836" s="138"/>
      <c r="T836" s="518"/>
    </row>
    <row r="837">
      <c r="B837" s="138"/>
      <c r="T837" s="518"/>
    </row>
    <row r="838">
      <c r="B838" s="138"/>
      <c r="T838" s="518"/>
    </row>
    <row r="839">
      <c r="B839" s="138"/>
      <c r="T839" s="518"/>
    </row>
    <row r="840">
      <c r="B840" s="138"/>
      <c r="T840" s="518"/>
    </row>
    <row r="841">
      <c r="B841" s="138"/>
      <c r="T841" s="518"/>
    </row>
    <row r="842">
      <c r="B842" s="138"/>
      <c r="T842" s="518"/>
    </row>
    <row r="843">
      <c r="B843" s="138"/>
      <c r="T843" s="518"/>
    </row>
    <row r="844">
      <c r="B844" s="138"/>
      <c r="T844" s="518"/>
    </row>
    <row r="845">
      <c r="B845" s="138"/>
      <c r="T845" s="518"/>
    </row>
    <row r="846">
      <c r="B846" s="138"/>
      <c r="T846" s="518"/>
    </row>
    <row r="847">
      <c r="B847" s="138"/>
      <c r="T847" s="518"/>
    </row>
    <row r="848">
      <c r="B848" s="138"/>
      <c r="T848" s="518"/>
    </row>
    <row r="849">
      <c r="B849" s="138"/>
      <c r="T849" s="518"/>
    </row>
    <row r="850">
      <c r="B850" s="138"/>
      <c r="T850" s="518"/>
    </row>
    <row r="851">
      <c r="B851" s="138"/>
      <c r="T851" s="518"/>
    </row>
    <row r="852">
      <c r="B852" s="138"/>
      <c r="T852" s="518"/>
    </row>
    <row r="853">
      <c r="B853" s="138"/>
      <c r="T853" s="518"/>
    </row>
    <row r="854">
      <c r="B854" s="138"/>
      <c r="T854" s="518"/>
    </row>
    <row r="855">
      <c r="B855" s="138"/>
      <c r="T855" s="518"/>
    </row>
    <row r="856">
      <c r="B856" s="138"/>
      <c r="T856" s="518"/>
    </row>
    <row r="857">
      <c r="B857" s="138"/>
      <c r="T857" s="518"/>
    </row>
    <row r="858">
      <c r="B858" s="138"/>
      <c r="T858" s="518"/>
    </row>
    <row r="859">
      <c r="B859" s="138"/>
      <c r="T859" s="518"/>
    </row>
    <row r="860">
      <c r="B860" s="138"/>
      <c r="T860" s="518"/>
    </row>
    <row r="861">
      <c r="B861" s="138"/>
      <c r="T861" s="518"/>
    </row>
    <row r="862">
      <c r="B862" s="138"/>
      <c r="T862" s="518"/>
    </row>
    <row r="863">
      <c r="B863" s="138"/>
      <c r="T863" s="518"/>
    </row>
    <row r="864">
      <c r="B864" s="138"/>
      <c r="T864" s="518"/>
    </row>
    <row r="865">
      <c r="B865" s="138"/>
      <c r="T865" s="518"/>
    </row>
    <row r="866">
      <c r="B866" s="138"/>
      <c r="T866" s="518"/>
    </row>
    <row r="867">
      <c r="B867" s="138"/>
      <c r="T867" s="518"/>
    </row>
    <row r="868">
      <c r="B868" s="138"/>
      <c r="T868" s="518"/>
    </row>
    <row r="869">
      <c r="B869" s="138"/>
      <c r="T869" s="518"/>
    </row>
    <row r="870">
      <c r="B870" s="138"/>
      <c r="T870" s="518"/>
    </row>
    <row r="871">
      <c r="B871" s="138"/>
      <c r="T871" s="518"/>
    </row>
    <row r="872">
      <c r="B872" s="138"/>
      <c r="T872" s="518"/>
    </row>
    <row r="873">
      <c r="B873" s="138"/>
      <c r="T873" s="518"/>
    </row>
    <row r="874">
      <c r="B874" s="138"/>
      <c r="T874" s="518"/>
    </row>
    <row r="875">
      <c r="B875" s="138"/>
      <c r="T875" s="518"/>
    </row>
    <row r="876">
      <c r="B876" s="138"/>
      <c r="T876" s="518"/>
    </row>
    <row r="877">
      <c r="B877" s="138"/>
      <c r="T877" s="518"/>
    </row>
    <row r="878">
      <c r="B878" s="138"/>
      <c r="T878" s="518"/>
    </row>
    <row r="879">
      <c r="B879" s="138"/>
      <c r="T879" s="518"/>
    </row>
    <row r="880">
      <c r="B880" s="138"/>
      <c r="T880" s="518"/>
    </row>
    <row r="881">
      <c r="B881" s="138"/>
      <c r="T881" s="518"/>
    </row>
    <row r="882">
      <c r="B882" s="138"/>
      <c r="T882" s="518"/>
    </row>
    <row r="883">
      <c r="B883" s="138"/>
      <c r="T883" s="518"/>
    </row>
    <row r="884">
      <c r="B884" s="138"/>
      <c r="T884" s="518"/>
    </row>
    <row r="885">
      <c r="B885" s="138"/>
      <c r="T885" s="518"/>
    </row>
    <row r="886">
      <c r="B886" s="138"/>
      <c r="T886" s="518"/>
    </row>
    <row r="887">
      <c r="B887" s="138"/>
      <c r="T887" s="518"/>
    </row>
    <row r="888">
      <c r="B888" s="138"/>
      <c r="T888" s="518"/>
    </row>
    <row r="889">
      <c r="B889" s="138"/>
      <c r="T889" s="518"/>
    </row>
    <row r="890">
      <c r="B890" s="138"/>
      <c r="T890" s="518"/>
    </row>
    <row r="891">
      <c r="B891" s="138"/>
      <c r="T891" s="518"/>
    </row>
    <row r="892">
      <c r="B892" s="138"/>
      <c r="T892" s="518"/>
    </row>
    <row r="893">
      <c r="B893" s="138"/>
      <c r="T893" s="518"/>
    </row>
    <row r="894">
      <c r="B894" s="138"/>
      <c r="T894" s="518"/>
    </row>
    <row r="895">
      <c r="B895" s="138"/>
      <c r="T895" s="518"/>
    </row>
    <row r="896">
      <c r="B896" s="138"/>
      <c r="T896" s="518"/>
    </row>
    <row r="897">
      <c r="B897" s="138"/>
      <c r="T897" s="518"/>
    </row>
    <row r="898">
      <c r="B898" s="138"/>
      <c r="T898" s="518"/>
    </row>
    <row r="899">
      <c r="B899" s="138"/>
      <c r="T899" s="518"/>
    </row>
    <row r="900">
      <c r="B900" s="138"/>
      <c r="T900" s="518"/>
    </row>
    <row r="901">
      <c r="B901" s="138"/>
      <c r="T901" s="518"/>
    </row>
    <row r="902">
      <c r="B902" s="138"/>
      <c r="T902" s="518"/>
    </row>
    <row r="903">
      <c r="B903" s="138"/>
      <c r="T903" s="518"/>
    </row>
    <row r="904">
      <c r="B904" s="138"/>
      <c r="T904" s="518"/>
    </row>
    <row r="905">
      <c r="B905" s="138"/>
      <c r="T905" s="518"/>
    </row>
    <row r="906">
      <c r="B906" s="138"/>
      <c r="T906" s="518"/>
    </row>
    <row r="907">
      <c r="B907" s="138"/>
      <c r="T907" s="518"/>
    </row>
    <row r="908">
      <c r="B908" s="138"/>
      <c r="T908" s="518"/>
    </row>
    <row r="909">
      <c r="B909" s="138"/>
      <c r="T909" s="518"/>
    </row>
    <row r="910">
      <c r="B910" s="138"/>
      <c r="T910" s="518"/>
    </row>
    <row r="911">
      <c r="B911" s="138"/>
      <c r="T911" s="518"/>
    </row>
    <row r="912">
      <c r="B912" s="138"/>
      <c r="T912" s="518"/>
    </row>
    <row r="913">
      <c r="B913" s="138"/>
      <c r="T913" s="518"/>
    </row>
    <row r="914">
      <c r="B914" s="138"/>
      <c r="T914" s="518"/>
    </row>
    <row r="915">
      <c r="B915" s="138"/>
      <c r="T915" s="518"/>
    </row>
    <row r="916">
      <c r="B916" s="138"/>
      <c r="T916" s="518"/>
    </row>
    <row r="917">
      <c r="B917" s="138"/>
      <c r="T917" s="518"/>
    </row>
    <row r="918">
      <c r="B918" s="138"/>
      <c r="T918" s="518"/>
    </row>
    <row r="919">
      <c r="B919" s="138"/>
      <c r="T919" s="518"/>
    </row>
    <row r="920">
      <c r="B920" s="138"/>
      <c r="T920" s="518"/>
    </row>
    <row r="921">
      <c r="B921" s="138"/>
      <c r="T921" s="518"/>
    </row>
    <row r="922">
      <c r="B922" s="138"/>
      <c r="T922" s="518"/>
    </row>
    <row r="923">
      <c r="B923" s="138"/>
      <c r="T923" s="518"/>
    </row>
    <row r="924">
      <c r="B924" s="138"/>
      <c r="T924" s="518"/>
    </row>
    <row r="925">
      <c r="B925" s="138"/>
      <c r="T925" s="518"/>
    </row>
    <row r="926">
      <c r="B926" s="138"/>
      <c r="T926" s="518"/>
    </row>
    <row r="927">
      <c r="B927" s="138"/>
      <c r="T927" s="518"/>
    </row>
    <row r="928">
      <c r="B928" s="138"/>
      <c r="T928" s="518"/>
    </row>
    <row r="929">
      <c r="B929" s="138"/>
      <c r="T929" s="518"/>
    </row>
    <row r="930">
      <c r="B930" s="138"/>
      <c r="T930" s="518"/>
    </row>
    <row r="931">
      <c r="B931" s="138"/>
      <c r="T931" s="518"/>
    </row>
    <row r="932">
      <c r="B932" s="138"/>
      <c r="T932" s="518"/>
    </row>
    <row r="933">
      <c r="B933" s="138"/>
      <c r="T933" s="518"/>
    </row>
    <row r="934">
      <c r="B934" s="138"/>
      <c r="T934" s="518"/>
    </row>
    <row r="935">
      <c r="B935" s="138"/>
      <c r="T935" s="518"/>
    </row>
    <row r="936">
      <c r="B936" s="138"/>
      <c r="T936" s="518"/>
    </row>
    <row r="937">
      <c r="B937" s="138"/>
      <c r="T937" s="518"/>
    </row>
    <row r="938">
      <c r="B938" s="138"/>
      <c r="T938" s="518"/>
    </row>
    <row r="939">
      <c r="B939" s="138"/>
      <c r="T939" s="518"/>
    </row>
    <row r="940">
      <c r="B940" s="138"/>
      <c r="T940" s="518"/>
    </row>
    <row r="941">
      <c r="B941" s="138"/>
      <c r="T941" s="518"/>
    </row>
    <row r="942">
      <c r="B942" s="138"/>
      <c r="T942" s="518"/>
    </row>
    <row r="943">
      <c r="B943" s="138"/>
      <c r="T943" s="518"/>
    </row>
    <row r="944">
      <c r="B944" s="138"/>
      <c r="T944" s="518"/>
    </row>
  </sheetData>
  <mergeCells count="16">
    <mergeCell ref="I3:J3"/>
    <mergeCell ref="K3:L3"/>
    <mergeCell ref="M3:N3"/>
    <mergeCell ref="O3:P3"/>
    <mergeCell ref="Q3:R3"/>
    <mergeCell ref="S3:T3"/>
    <mergeCell ref="U3:V3"/>
    <mergeCell ref="W3:Y3"/>
    <mergeCell ref="B2:H2"/>
    <mergeCell ref="I2:N2"/>
    <mergeCell ref="O2:T2"/>
    <mergeCell ref="U2:AA2"/>
    <mergeCell ref="B3:C3"/>
    <mergeCell ref="D3:E3"/>
    <mergeCell ref="F3:H3"/>
    <mergeCell ref="Z3:AA3"/>
  </mergeCells>
  <dataValidations>
    <dataValidation type="list" allowBlank="1" showErrorMessage="1" sqref="B24:AA24 B33:AA33">
      <formula1>"0%,100%"</formula1>
    </dataValidation>
  </dataValidations>
  <hyperlinks>
    <hyperlink r:id="rId2" ref="B47"/>
    <hyperlink r:id="rId3" ref="C47"/>
    <hyperlink r:id="rId4" ref="D47"/>
    <hyperlink r:id="rId5" ref="E47"/>
    <hyperlink r:id="rId6" ref="F47"/>
    <hyperlink r:id="rId7" ref="G47"/>
    <hyperlink r:id="rId8" ref="H47"/>
    <hyperlink r:id="rId9" ref="I47"/>
    <hyperlink r:id="rId10" ref="J47"/>
    <hyperlink r:id="rId11" ref="K47"/>
    <hyperlink r:id="rId12" ref="L47"/>
    <hyperlink r:id="rId13" ref="M47"/>
    <hyperlink r:id="rId14" ref="N47"/>
    <hyperlink r:id="rId15" ref="O47"/>
    <hyperlink r:id="rId16" ref="P47"/>
    <hyperlink r:id="rId17" ref="Q47"/>
    <hyperlink r:id="rId18" ref="R47"/>
    <hyperlink r:id="rId19" ref="S47"/>
    <hyperlink r:id="rId20" ref="T47"/>
    <hyperlink r:id="rId21" ref="U47"/>
  </hyperlinks>
  <drawing r:id="rId22"/>
  <legacyDrawing r:id="rId2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8.75"/>
    <col customWidth="1" min="2" max="2" width="19.38"/>
    <col customWidth="1" min="3" max="4" width="20.75"/>
    <col customWidth="1" min="5" max="5" width="20.13"/>
    <col customWidth="1" min="6" max="6" width="20.38"/>
    <col customWidth="1" min="7" max="7" width="20.5"/>
    <col customWidth="1" min="8" max="8" width="20.0"/>
    <col customWidth="1" min="9" max="9" width="20.25"/>
    <col customWidth="1" min="10" max="10" width="20.63"/>
    <col customWidth="1" min="11" max="13" width="21.0"/>
    <col customWidth="1" min="14" max="14" width="20.5"/>
    <col customWidth="1" min="15" max="15" width="22.63"/>
    <col customWidth="1" min="16" max="16" width="21.25"/>
    <col customWidth="1" min="17" max="17" width="19.38"/>
    <col customWidth="1" min="18" max="18" width="23.88"/>
    <col customWidth="1" min="19" max="19" width="23.75"/>
    <col customWidth="1" min="20" max="20" width="25.75"/>
    <col customWidth="1" min="21" max="21" width="21.0"/>
    <col customWidth="1" min="22" max="22" width="23.25"/>
    <col customWidth="1" min="23" max="23" width="21.13"/>
    <col customWidth="1" min="24" max="24" width="22.25"/>
    <col customWidth="1" min="25" max="25" width="21.38"/>
    <col customWidth="1" min="26" max="26" width="21.63"/>
    <col customWidth="1" min="27" max="27" width="22.63"/>
    <col customWidth="1" min="28" max="28" width="13.5"/>
  </cols>
  <sheetData>
    <row r="1" ht="30.0" customHeight="1">
      <c r="A1" s="1" t="s">
        <v>1007</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c r="AO1" s="4"/>
    </row>
    <row r="2">
      <c r="A2" s="6" t="s">
        <v>1</v>
      </c>
      <c r="B2" s="7" t="s">
        <v>2</v>
      </c>
      <c r="C2" s="8"/>
      <c r="D2" s="8"/>
      <c r="E2" s="8"/>
      <c r="F2" s="8"/>
      <c r="G2" s="8"/>
      <c r="H2" s="9"/>
      <c r="I2" s="10" t="s">
        <v>3</v>
      </c>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c r="AN2" s="12"/>
      <c r="AO2" s="12"/>
    </row>
    <row r="3">
      <c r="A3" s="6" t="s">
        <v>6</v>
      </c>
      <c r="B3" s="13" t="s">
        <v>7</v>
      </c>
      <c r="C3" s="14"/>
      <c r="D3" s="15" t="s">
        <v>8</v>
      </c>
      <c r="E3" s="9"/>
      <c r="F3" s="10" t="s">
        <v>9</v>
      </c>
      <c r="G3" s="8"/>
      <c r="H3" s="9"/>
      <c r="I3" s="15" t="s">
        <v>10</v>
      </c>
      <c r="J3" s="9"/>
      <c r="K3" s="10" t="s">
        <v>11</v>
      </c>
      <c r="L3" s="9"/>
      <c r="M3" s="16" t="s">
        <v>12</v>
      </c>
      <c r="N3" s="9"/>
      <c r="O3" s="10" t="s">
        <v>13</v>
      </c>
      <c r="P3" s="9"/>
      <c r="Q3" s="15" t="s">
        <v>14</v>
      </c>
      <c r="R3" s="9"/>
      <c r="S3" s="10" t="s">
        <v>15</v>
      </c>
      <c r="T3" s="9"/>
      <c r="U3" s="155" t="s">
        <v>16</v>
      </c>
      <c r="V3" s="156"/>
      <c r="W3" s="10" t="s">
        <v>17</v>
      </c>
      <c r="X3" s="8"/>
      <c r="Y3" s="9"/>
      <c r="Z3" s="469" t="s">
        <v>18</v>
      </c>
      <c r="AA3" s="9"/>
      <c r="AB3" s="12"/>
      <c r="AC3" s="12"/>
      <c r="AD3" s="12"/>
      <c r="AE3" s="12"/>
      <c r="AF3" s="12"/>
      <c r="AG3" s="12"/>
      <c r="AH3" s="12"/>
      <c r="AI3" s="12"/>
      <c r="AJ3" s="12"/>
      <c r="AK3" s="12"/>
      <c r="AL3" s="12"/>
      <c r="AM3" s="12"/>
      <c r="AN3" s="12"/>
      <c r="AO3" s="12"/>
    </row>
    <row r="4">
      <c r="A4" s="6" t="s">
        <v>19</v>
      </c>
      <c r="B4" s="649" t="s">
        <v>1008</v>
      </c>
      <c r="C4" s="583" t="s">
        <v>1009</v>
      </c>
      <c r="D4" s="583" t="s">
        <v>1010</v>
      </c>
      <c r="E4" s="583" t="s">
        <v>1011</v>
      </c>
      <c r="F4" s="583" t="s">
        <v>1012</v>
      </c>
      <c r="G4" s="583" t="s">
        <v>1013</v>
      </c>
      <c r="H4" s="583" t="s">
        <v>1014</v>
      </c>
      <c r="I4" s="583" t="s">
        <v>1015</v>
      </c>
      <c r="J4" s="583" t="s">
        <v>1016</v>
      </c>
      <c r="K4" s="583" t="s">
        <v>1017</v>
      </c>
      <c r="L4" s="583" t="s">
        <v>1018</v>
      </c>
      <c r="M4" s="19" t="s">
        <v>1019</v>
      </c>
      <c r="N4" s="19" t="s">
        <v>1020</v>
      </c>
      <c r="O4" s="19" t="s">
        <v>1021</v>
      </c>
      <c r="P4" s="19" t="s">
        <v>1022</v>
      </c>
      <c r="Q4" s="19" t="s">
        <v>1023</v>
      </c>
      <c r="R4" s="19" t="s">
        <v>1024</v>
      </c>
      <c r="S4" s="19" t="s">
        <v>1025</v>
      </c>
      <c r="T4" s="650" t="s">
        <v>931</v>
      </c>
      <c r="U4" s="651" t="s">
        <v>1026</v>
      </c>
      <c r="V4" s="652" t="s">
        <v>1027</v>
      </c>
      <c r="W4" s="19" t="s">
        <v>1028</v>
      </c>
      <c r="X4" s="19" t="s">
        <v>1029</v>
      </c>
      <c r="Y4" s="19" t="s">
        <v>1030</v>
      </c>
      <c r="Z4" s="19" t="s">
        <v>1031</v>
      </c>
      <c r="AA4" s="19" t="s">
        <v>1032</v>
      </c>
      <c r="AB4" s="12"/>
      <c r="AC4" s="12"/>
      <c r="AD4" s="12"/>
      <c r="AE4" s="12"/>
      <c r="AF4" s="12"/>
      <c r="AG4" s="12"/>
      <c r="AH4" s="12"/>
      <c r="AI4" s="12"/>
      <c r="AJ4" s="12"/>
      <c r="AK4" s="12"/>
      <c r="AL4" s="12"/>
      <c r="AM4" s="12"/>
      <c r="AN4" s="12"/>
      <c r="AO4" s="12"/>
    </row>
    <row r="5">
      <c r="A5" s="22" t="s">
        <v>20</v>
      </c>
      <c r="B5" s="653" t="s">
        <v>1033</v>
      </c>
      <c r="C5" s="653" t="s">
        <v>1034</v>
      </c>
      <c r="D5" s="653" t="s">
        <v>1035</v>
      </c>
      <c r="E5" s="653" t="s">
        <v>1036</v>
      </c>
      <c r="F5" s="653" t="s">
        <v>1037</v>
      </c>
      <c r="G5" s="653" t="s">
        <v>1038</v>
      </c>
      <c r="H5" s="653" t="s">
        <v>1039</v>
      </c>
      <c r="I5" s="584" t="s">
        <v>1040</v>
      </c>
      <c r="J5" s="584" t="s">
        <v>1041</v>
      </c>
      <c r="K5" s="584" t="s">
        <v>1042</v>
      </c>
      <c r="L5" s="584" t="s">
        <v>1043</v>
      </c>
      <c r="M5" s="584" t="s">
        <v>1044</v>
      </c>
      <c r="N5" s="584" t="s">
        <v>1045</v>
      </c>
      <c r="O5" s="25" t="s">
        <v>1046</v>
      </c>
      <c r="P5" s="25" t="s">
        <v>1047</v>
      </c>
      <c r="Q5" s="25" t="s">
        <v>1048</v>
      </c>
      <c r="R5" s="25" t="s">
        <v>1049</v>
      </c>
      <c r="S5" s="25" t="s">
        <v>1050</v>
      </c>
      <c r="T5" s="654" t="s">
        <v>1051</v>
      </c>
      <c r="U5" s="25" t="s">
        <v>1052</v>
      </c>
      <c r="V5" s="25" t="s">
        <v>1053</v>
      </c>
      <c r="W5" s="25" t="s">
        <v>1054</v>
      </c>
      <c r="X5" s="25" t="s">
        <v>1055</v>
      </c>
      <c r="Y5" s="25" t="s">
        <v>1056</v>
      </c>
      <c r="Z5" s="25" t="s">
        <v>1052</v>
      </c>
      <c r="AA5" s="25" t="s">
        <v>1057</v>
      </c>
      <c r="AB5" s="27"/>
      <c r="AC5" s="28"/>
      <c r="AD5" s="28"/>
      <c r="AE5" s="28"/>
      <c r="AF5" s="28"/>
      <c r="AG5" s="28"/>
      <c r="AH5" s="28"/>
      <c r="AI5" s="28"/>
      <c r="AJ5" s="28"/>
      <c r="AK5" s="28"/>
      <c r="AL5" s="28"/>
      <c r="AM5" s="28"/>
      <c r="AN5" s="28"/>
      <c r="AO5" s="28"/>
    </row>
    <row r="6">
      <c r="A6" s="29"/>
      <c r="B6" s="30"/>
      <c r="U6" s="31"/>
    </row>
    <row r="7">
      <c r="A7" s="32" t="s">
        <v>21</v>
      </c>
      <c r="B7" s="33">
        <v>206.0</v>
      </c>
      <c r="C7" s="34">
        <v>211.0</v>
      </c>
      <c r="D7" s="34">
        <f>49+144</f>
        <v>193</v>
      </c>
      <c r="E7" s="34">
        <v>197.0</v>
      </c>
      <c r="F7" s="34">
        <v>193.0</v>
      </c>
      <c r="G7" s="34">
        <v>197.0</v>
      </c>
      <c r="H7" s="34">
        <v>212.0</v>
      </c>
      <c r="I7" s="34">
        <v>102.0</v>
      </c>
      <c r="J7" s="34">
        <v>161.0</v>
      </c>
      <c r="K7" s="34">
        <v>207.0</v>
      </c>
      <c r="L7" s="34">
        <v>205.0</v>
      </c>
      <c r="M7" s="34">
        <v>204.0</v>
      </c>
      <c r="N7" s="34">
        <v>222.0</v>
      </c>
      <c r="O7" s="34">
        <v>218.0</v>
      </c>
      <c r="P7" s="34">
        <v>226.0</v>
      </c>
      <c r="Q7" s="34">
        <v>117.0</v>
      </c>
      <c r="R7" s="34">
        <v>242.0</v>
      </c>
      <c r="S7" s="34">
        <v>205.0</v>
      </c>
      <c r="T7" s="655">
        <v>223.0</v>
      </c>
      <c r="U7" s="36">
        <v>230.0</v>
      </c>
      <c r="V7" s="656"/>
      <c r="W7" s="656"/>
      <c r="X7" s="656"/>
      <c r="Y7" s="656"/>
      <c r="Z7" s="656"/>
      <c r="AA7" s="34"/>
    </row>
    <row r="8">
      <c r="A8" s="37" t="s">
        <v>22</v>
      </c>
      <c r="B8" s="38">
        <v>184.0</v>
      </c>
      <c r="C8" s="39">
        <v>187.0</v>
      </c>
      <c r="D8" s="39">
        <v>189.0</v>
      </c>
      <c r="E8" s="39">
        <v>177.0</v>
      </c>
      <c r="F8" s="39">
        <v>181.0</v>
      </c>
      <c r="G8" s="39">
        <v>187.0</v>
      </c>
      <c r="H8" s="39">
        <v>183.0</v>
      </c>
      <c r="I8" s="39">
        <v>97.0</v>
      </c>
      <c r="J8" s="39">
        <v>149.0</v>
      </c>
      <c r="K8" s="39">
        <v>198.0</v>
      </c>
      <c r="L8" s="39">
        <v>191.0</v>
      </c>
      <c r="M8" s="39">
        <v>167.0</v>
      </c>
      <c r="N8" s="39">
        <v>201.0</v>
      </c>
      <c r="O8" s="39">
        <v>196.0</v>
      </c>
      <c r="P8" s="39">
        <v>179.0</v>
      </c>
      <c r="Q8" s="39">
        <v>114.0</v>
      </c>
      <c r="R8" s="39">
        <v>199.0</v>
      </c>
      <c r="S8" s="39">
        <v>194.0</v>
      </c>
      <c r="T8" s="40">
        <v>203.0</v>
      </c>
      <c r="U8" s="41">
        <v>195.0</v>
      </c>
      <c r="V8" s="657">
        <v>181.0</v>
      </c>
      <c r="W8" s="657"/>
      <c r="X8" s="657"/>
      <c r="Y8" s="657"/>
      <c r="Z8" s="657"/>
      <c r="AA8" s="39"/>
    </row>
    <row r="9">
      <c r="A9" s="37" t="s">
        <v>23</v>
      </c>
      <c r="B9" s="38">
        <v>20.0</v>
      </c>
      <c r="C9" s="39">
        <v>11.0</v>
      </c>
      <c r="D9" s="39">
        <v>4.0</v>
      </c>
      <c r="E9" s="39">
        <v>20.0</v>
      </c>
      <c r="F9" s="39">
        <v>12.0</v>
      </c>
      <c r="G9" s="39">
        <v>8.0</v>
      </c>
      <c r="H9" s="39">
        <v>29.0</v>
      </c>
      <c r="I9" s="39">
        <v>5.0</v>
      </c>
      <c r="J9" s="39">
        <v>12.0</v>
      </c>
      <c r="K9" s="39">
        <v>9.0</v>
      </c>
      <c r="L9" s="39">
        <v>14.0</v>
      </c>
      <c r="M9" s="39">
        <v>37.0</v>
      </c>
      <c r="N9" s="39">
        <v>23.0</v>
      </c>
      <c r="O9" s="39">
        <v>22.0</v>
      </c>
      <c r="P9" s="39">
        <v>47.0</v>
      </c>
      <c r="Q9" s="39">
        <v>5.0</v>
      </c>
      <c r="R9" s="39">
        <v>43.0</v>
      </c>
      <c r="S9" s="39">
        <v>14.0</v>
      </c>
      <c r="T9" s="40">
        <v>29.0</v>
      </c>
      <c r="U9" s="41">
        <v>35.0</v>
      </c>
      <c r="V9" s="657"/>
      <c r="W9" s="657"/>
      <c r="X9" s="657"/>
      <c r="Y9" s="657"/>
      <c r="Z9" s="657"/>
      <c r="AA9" s="39"/>
    </row>
    <row r="10">
      <c r="A10" s="42" t="s">
        <v>24</v>
      </c>
      <c r="B10" s="43">
        <f t="shared" ref="B10:Q10" si="1">IFERROR(B9/B7, 0)</f>
        <v>0.09708737864</v>
      </c>
      <c r="C10" s="43">
        <f t="shared" si="1"/>
        <v>0.05213270142</v>
      </c>
      <c r="D10" s="43">
        <f t="shared" si="1"/>
        <v>0.0207253886</v>
      </c>
      <c r="E10" s="43">
        <f t="shared" si="1"/>
        <v>0.1015228426</v>
      </c>
      <c r="F10" s="43">
        <f t="shared" si="1"/>
        <v>0.0621761658</v>
      </c>
      <c r="G10" s="43">
        <f t="shared" si="1"/>
        <v>0.04060913706</v>
      </c>
      <c r="H10" s="43">
        <f t="shared" si="1"/>
        <v>0.1367924528</v>
      </c>
      <c r="I10" s="43">
        <f t="shared" si="1"/>
        <v>0.04901960784</v>
      </c>
      <c r="J10" s="43">
        <f t="shared" si="1"/>
        <v>0.07453416149</v>
      </c>
      <c r="K10" s="43">
        <f t="shared" si="1"/>
        <v>0.04347826087</v>
      </c>
      <c r="L10" s="43">
        <f t="shared" si="1"/>
        <v>0.06829268293</v>
      </c>
      <c r="M10" s="43">
        <f t="shared" si="1"/>
        <v>0.181372549</v>
      </c>
      <c r="N10" s="43">
        <f t="shared" si="1"/>
        <v>0.1036036036</v>
      </c>
      <c r="O10" s="43">
        <f t="shared" si="1"/>
        <v>0.1009174312</v>
      </c>
      <c r="P10" s="43">
        <f t="shared" si="1"/>
        <v>0.2079646018</v>
      </c>
      <c r="Q10" s="43">
        <f t="shared" si="1"/>
        <v>0.04273504274</v>
      </c>
      <c r="R10" s="43">
        <v>0.18</v>
      </c>
      <c r="S10" s="43">
        <v>0.0829</v>
      </c>
      <c r="T10" s="44">
        <v>0.13</v>
      </c>
      <c r="U10" s="658">
        <v>0.15</v>
      </c>
      <c r="V10" s="659"/>
      <c r="W10" s="659"/>
      <c r="X10" s="659"/>
      <c r="Y10" s="659"/>
      <c r="Z10" s="659"/>
      <c r="AA10" s="43"/>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row>
    <row r="12">
      <c r="A12" s="48" t="s">
        <v>25</v>
      </c>
      <c r="B12" s="49">
        <v>8.0</v>
      </c>
      <c r="C12" s="50">
        <v>34.0</v>
      </c>
      <c r="D12" s="50">
        <v>48.0</v>
      </c>
      <c r="E12" s="50">
        <v>45.0</v>
      </c>
      <c r="F12" s="50">
        <v>79.0</v>
      </c>
      <c r="G12" s="50">
        <v>34.0</v>
      </c>
      <c r="H12" s="50">
        <v>42.0</v>
      </c>
      <c r="I12" s="50">
        <v>9.0</v>
      </c>
      <c r="J12" s="50">
        <v>36.0</v>
      </c>
      <c r="K12" s="50">
        <v>36.0</v>
      </c>
      <c r="L12" s="50">
        <v>24.0</v>
      </c>
      <c r="M12" s="50">
        <v>52.0</v>
      </c>
      <c r="N12" s="50">
        <v>43.0</v>
      </c>
      <c r="O12" s="50">
        <v>30.0</v>
      </c>
      <c r="P12" s="50">
        <v>78.0</v>
      </c>
      <c r="Q12" s="50">
        <v>23.0</v>
      </c>
      <c r="R12" s="50">
        <v>56.0</v>
      </c>
      <c r="S12" s="50">
        <v>24.0</v>
      </c>
      <c r="T12" s="51">
        <v>58.0</v>
      </c>
      <c r="U12" s="52">
        <v>50.0</v>
      </c>
      <c r="V12" s="50"/>
      <c r="W12" s="50"/>
      <c r="X12" s="50"/>
      <c r="Y12" s="50"/>
      <c r="Z12" s="50"/>
      <c r="AA12" s="50"/>
    </row>
    <row r="13">
      <c r="A13" s="53" t="s">
        <v>26</v>
      </c>
      <c r="B13" s="54">
        <v>19.0</v>
      </c>
      <c r="C13" s="55">
        <v>40.0</v>
      </c>
      <c r="D13" s="55">
        <v>55.0</v>
      </c>
      <c r="E13" s="55">
        <v>40.0</v>
      </c>
      <c r="F13" s="55">
        <v>76.0</v>
      </c>
      <c r="G13" s="55">
        <v>34.0</v>
      </c>
      <c r="H13" s="55">
        <v>46.0</v>
      </c>
      <c r="I13" s="55">
        <v>12.0</v>
      </c>
      <c r="J13" s="55">
        <v>28.0</v>
      </c>
      <c r="K13" s="55">
        <v>36.0</v>
      </c>
      <c r="L13" s="55">
        <v>31.0</v>
      </c>
      <c r="M13" s="55">
        <v>46.0</v>
      </c>
      <c r="N13" s="55">
        <v>72.0</v>
      </c>
      <c r="O13" s="55">
        <v>55.0</v>
      </c>
      <c r="P13" s="55">
        <v>64.0</v>
      </c>
      <c r="Q13" s="55">
        <v>37.0</v>
      </c>
      <c r="R13" s="55">
        <v>46.0</v>
      </c>
      <c r="S13" s="55">
        <v>18.0</v>
      </c>
      <c r="T13" s="56">
        <v>42.0</v>
      </c>
      <c r="U13" s="57">
        <v>42.0</v>
      </c>
      <c r="V13" s="55"/>
      <c r="W13" s="55"/>
      <c r="X13" s="55"/>
      <c r="Y13" s="55"/>
      <c r="Z13" s="55"/>
      <c r="AA13" s="55"/>
    </row>
    <row r="14">
      <c r="A14" s="58" t="s">
        <v>27</v>
      </c>
      <c r="B14" s="59">
        <v>0.0</v>
      </c>
      <c r="C14" s="60">
        <v>10.0</v>
      </c>
      <c r="D14" s="60">
        <v>1.0</v>
      </c>
      <c r="E14" s="60">
        <v>20.0</v>
      </c>
      <c r="F14" s="60">
        <v>8.0</v>
      </c>
      <c r="G14" s="60">
        <v>0.0</v>
      </c>
      <c r="H14" s="60">
        <v>12.0</v>
      </c>
      <c r="I14" s="60">
        <v>0.0</v>
      </c>
      <c r="J14" s="60">
        <v>11.0</v>
      </c>
      <c r="K14" s="60">
        <v>9.0</v>
      </c>
      <c r="L14" s="60">
        <v>13.0</v>
      </c>
      <c r="M14" s="60">
        <v>9.0</v>
      </c>
      <c r="N14" s="60">
        <v>13.0</v>
      </c>
      <c r="O14" s="60">
        <v>3.0</v>
      </c>
      <c r="P14" s="60">
        <v>26.0</v>
      </c>
      <c r="Q14" s="60">
        <v>4.0</v>
      </c>
      <c r="R14" s="60">
        <v>18.0</v>
      </c>
      <c r="S14" s="60">
        <v>9.0</v>
      </c>
      <c r="T14" s="61">
        <v>21.0</v>
      </c>
      <c r="U14" s="62">
        <v>11.0</v>
      </c>
      <c r="V14" s="60"/>
      <c r="W14" s="60"/>
      <c r="X14" s="60"/>
      <c r="Y14" s="60"/>
      <c r="Z14" s="60"/>
      <c r="AA14" s="60"/>
    </row>
    <row r="15">
      <c r="A15" s="56"/>
      <c r="B15" s="63"/>
      <c r="C15" s="56"/>
      <c r="D15" s="56"/>
      <c r="E15" s="56"/>
      <c r="F15" s="56"/>
      <c r="G15" s="56"/>
      <c r="H15" s="56"/>
      <c r="I15" s="56"/>
      <c r="J15" s="56"/>
      <c r="K15" s="56"/>
      <c r="L15" s="56"/>
      <c r="M15" s="56"/>
      <c r="N15" s="56"/>
      <c r="O15" s="56"/>
      <c r="P15" s="56"/>
      <c r="Q15" s="56"/>
      <c r="R15" s="56"/>
      <c r="S15" s="56"/>
      <c r="T15" s="56"/>
      <c r="U15" s="64"/>
      <c r="V15" s="56"/>
      <c r="W15" s="56"/>
      <c r="X15" s="56"/>
      <c r="Y15" s="56"/>
      <c r="Z15" s="56"/>
      <c r="AA15" s="56"/>
    </row>
    <row r="16">
      <c r="A16" s="65" t="s">
        <v>28</v>
      </c>
      <c r="B16" s="66"/>
      <c r="C16" s="65"/>
      <c r="D16" s="65"/>
      <c r="E16" s="65"/>
      <c r="F16" s="65"/>
      <c r="G16" s="65"/>
      <c r="H16" s="65"/>
      <c r="I16" s="65"/>
      <c r="J16" s="65"/>
      <c r="K16" s="65"/>
      <c r="L16" s="65"/>
      <c r="M16" s="65"/>
      <c r="N16" s="65"/>
      <c r="O16" s="65"/>
      <c r="P16" s="65"/>
      <c r="Q16" s="65"/>
      <c r="R16" s="65"/>
      <c r="S16" s="65"/>
      <c r="T16" s="67"/>
      <c r="U16" s="68"/>
      <c r="V16" s="65"/>
      <c r="W16" s="65"/>
      <c r="X16" s="65"/>
      <c r="Y16" s="65"/>
      <c r="Z16" s="65"/>
      <c r="AA16" s="65"/>
    </row>
    <row r="17">
      <c r="A17" s="65" t="s">
        <v>29</v>
      </c>
      <c r="B17" s="66"/>
      <c r="C17" s="65"/>
      <c r="D17" s="65"/>
      <c r="E17" s="65"/>
      <c r="F17" s="65"/>
      <c r="G17" s="65"/>
      <c r="H17" s="65"/>
      <c r="I17" s="65"/>
      <c r="J17" s="65"/>
      <c r="K17" s="65"/>
      <c r="L17" s="65"/>
      <c r="M17" s="65"/>
      <c r="N17" s="65"/>
      <c r="O17" s="65"/>
      <c r="P17" s="65"/>
      <c r="Q17" s="65"/>
      <c r="R17" s="65"/>
      <c r="S17" s="65"/>
      <c r="T17" s="67"/>
      <c r="U17" s="68"/>
      <c r="V17" s="65"/>
      <c r="W17" s="65"/>
      <c r="X17" s="65"/>
      <c r="Y17" s="65"/>
      <c r="Z17" s="65"/>
      <c r="AA17" s="65"/>
    </row>
    <row r="18">
      <c r="A18" s="69" t="s">
        <v>30</v>
      </c>
      <c r="B18" s="70">
        <f>70+21+16</f>
        <v>107</v>
      </c>
      <c r="C18" s="69">
        <v>190.0</v>
      </c>
      <c r="D18" s="69">
        <v>162.0</v>
      </c>
      <c r="E18" s="69">
        <v>132.0</v>
      </c>
      <c r="F18" s="69">
        <v>162.0</v>
      </c>
      <c r="G18" s="69">
        <v>163.0</v>
      </c>
      <c r="H18" s="69">
        <v>172.0</v>
      </c>
      <c r="I18" s="69">
        <v>94.0</v>
      </c>
      <c r="J18" s="69">
        <v>126.0</v>
      </c>
      <c r="K18" s="69">
        <v>152.0</v>
      </c>
      <c r="L18" s="69">
        <v>111.0</v>
      </c>
      <c r="M18" s="69">
        <v>135.0</v>
      </c>
      <c r="N18" s="69">
        <v>129.0</v>
      </c>
      <c r="O18" s="69">
        <v>153.0</v>
      </c>
      <c r="P18" s="69">
        <v>138.0</v>
      </c>
      <c r="Q18" s="69">
        <v>85.0</v>
      </c>
      <c r="R18" s="69">
        <v>98.0</v>
      </c>
      <c r="S18" s="69">
        <v>154.0</v>
      </c>
      <c r="T18" s="69">
        <v>122.0</v>
      </c>
      <c r="U18" s="71">
        <v>125.0</v>
      </c>
      <c r="V18" s="69"/>
      <c r="W18" s="69"/>
      <c r="X18" s="69"/>
      <c r="Y18" s="69"/>
      <c r="Z18" s="69"/>
      <c r="AA18" s="72"/>
      <c r="AB18" s="73"/>
      <c r="AC18" s="73"/>
      <c r="AD18" s="73"/>
      <c r="AE18" s="73"/>
      <c r="AF18" s="73"/>
      <c r="AG18" s="73"/>
      <c r="AH18" s="73"/>
      <c r="AI18" s="73"/>
      <c r="AJ18" s="73"/>
      <c r="AK18" s="73"/>
      <c r="AL18" s="73"/>
      <c r="AM18" s="73"/>
      <c r="AN18" s="73"/>
      <c r="AO18" s="73"/>
    </row>
    <row r="19">
      <c r="A19" s="74" t="s">
        <v>31</v>
      </c>
      <c r="B19" s="75">
        <f>75+21+16</f>
        <v>112</v>
      </c>
      <c r="C19" s="74">
        <v>190.0</v>
      </c>
      <c r="D19" s="74">
        <v>162.0</v>
      </c>
      <c r="E19" s="74">
        <v>145.0</v>
      </c>
      <c r="F19" s="74">
        <v>175.0</v>
      </c>
      <c r="G19" s="74">
        <v>184.0</v>
      </c>
      <c r="H19" s="74">
        <v>172.0</v>
      </c>
      <c r="I19" s="74">
        <v>94.0</v>
      </c>
      <c r="J19" s="74">
        <v>145.0</v>
      </c>
      <c r="K19" s="74">
        <v>152.0</v>
      </c>
      <c r="L19" s="74">
        <v>119.0</v>
      </c>
      <c r="M19" s="74">
        <v>135.0</v>
      </c>
      <c r="N19" s="74">
        <v>142.0</v>
      </c>
      <c r="O19" s="74">
        <v>164.0</v>
      </c>
      <c r="P19" s="74">
        <v>188.0</v>
      </c>
      <c r="Q19" s="69">
        <v>98.0</v>
      </c>
      <c r="R19" s="74">
        <v>106.0</v>
      </c>
      <c r="S19" s="74">
        <v>165.0</v>
      </c>
      <c r="T19" s="74">
        <v>177.0</v>
      </c>
      <c r="U19" s="76">
        <v>185.0</v>
      </c>
      <c r="V19" s="74"/>
      <c r="W19" s="74"/>
      <c r="X19" s="74"/>
      <c r="Y19" s="74"/>
      <c r="Z19" s="74"/>
      <c r="AA19" s="77"/>
      <c r="AB19" s="78"/>
      <c r="AC19" s="78"/>
      <c r="AD19" s="78"/>
      <c r="AE19" s="78"/>
      <c r="AF19" s="78"/>
      <c r="AG19" s="78"/>
      <c r="AH19" s="78"/>
      <c r="AI19" s="78"/>
      <c r="AJ19" s="78"/>
      <c r="AK19" s="78"/>
      <c r="AL19" s="78"/>
      <c r="AM19" s="78"/>
      <c r="AN19" s="78"/>
      <c r="AO19" s="78"/>
    </row>
    <row r="20">
      <c r="A20" s="69" t="s">
        <v>32</v>
      </c>
      <c r="B20" s="70">
        <v>21.0</v>
      </c>
      <c r="C20" s="69">
        <v>53.0</v>
      </c>
      <c r="D20" s="69">
        <v>57.0</v>
      </c>
      <c r="E20" s="69">
        <v>55.0</v>
      </c>
      <c r="F20" s="69">
        <v>57.0</v>
      </c>
      <c r="G20" s="69">
        <v>122.0</v>
      </c>
      <c r="H20" s="69">
        <v>101.0</v>
      </c>
      <c r="I20" s="69">
        <v>17.0</v>
      </c>
      <c r="J20" s="69">
        <v>63.0</v>
      </c>
      <c r="K20" s="69">
        <v>55.0</v>
      </c>
      <c r="L20" s="69">
        <v>44.0</v>
      </c>
      <c r="M20" s="69">
        <v>55.0</v>
      </c>
      <c r="N20" s="69">
        <v>64.0</v>
      </c>
      <c r="O20" s="69">
        <v>77.0</v>
      </c>
      <c r="P20" s="69">
        <v>91.0</v>
      </c>
      <c r="Q20" s="69">
        <v>49.0</v>
      </c>
      <c r="R20" s="69">
        <v>61.0</v>
      </c>
      <c r="S20" s="69">
        <v>55.0</v>
      </c>
      <c r="T20" s="69">
        <v>40.0</v>
      </c>
      <c r="U20" s="71">
        <v>21.0</v>
      </c>
      <c r="V20" s="69"/>
      <c r="W20" s="69"/>
      <c r="X20" s="69"/>
      <c r="Y20" s="69"/>
      <c r="Z20" s="69"/>
      <c r="AA20" s="72"/>
      <c r="AB20" s="73"/>
      <c r="AC20" s="73"/>
      <c r="AD20" s="73"/>
      <c r="AE20" s="73"/>
      <c r="AF20" s="73"/>
      <c r="AG20" s="73"/>
      <c r="AH20" s="73"/>
      <c r="AI20" s="73"/>
      <c r="AJ20" s="73"/>
      <c r="AK20" s="73"/>
      <c r="AL20" s="73"/>
      <c r="AM20" s="73"/>
      <c r="AN20" s="73"/>
      <c r="AO20" s="73"/>
    </row>
    <row r="21">
      <c r="A21" s="79" t="s">
        <v>33</v>
      </c>
      <c r="B21" s="80">
        <v>110.0</v>
      </c>
      <c r="C21" s="80">
        <v>21.0</v>
      </c>
      <c r="D21" s="80">
        <v>31.0</v>
      </c>
      <c r="E21" s="80">
        <v>79.0</v>
      </c>
      <c r="F21" s="79">
        <v>18.0</v>
      </c>
      <c r="G21" s="79">
        <v>13.0</v>
      </c>
      <c r="H21" s="79">
        <f>40</f>
        <v>40</v>
      </c>
      <c r="I21" s="79">
        <v>7.0</v>
      </c>
      <c r="J21" s="79">
        <v>16.0</v>
      </c>
      <c r="K21" s="79">
        <v>51.0</v>
      </c>
      <c r="L21" s="79">
        <f>44+86</f>
        <v>130</v>
      </c>
      <c r="M21" s="79">
        <f t="shared" ref="M21:U21" si="2">M7-M19</f>
        <v>69</v>
      </c>
      <c r="N21" s="79">
        <f t="shared" si="2"/>
        <v>80</v>
      </c>
      <c r="O21" s="79">
        <f t="shared" si="2"/>
        <v>54</v>
      </c>
      <c r="P21" s="79">
        <f t="shared" si="2"/>
        <v>38</v>
      </c>
      <c r="Q21" s="79">
        <f t="shared" si="2"/>
        <v>19</v>
      </c>
      <c r="R21" s="79">
        <f t="shared" si="2"/>
        <v>136</v>
      </c>
      <c r="S21" s="79">
        <f t="shared" si="2"/>
        <v>40</v>
      </c>
      <c r="T21" s="79">
        <f t="shared" si="2"/>
        <v>46</v>
      </c>
      <c r="U21" s="660">
        <f t="shared" si="2"/>
        <v>45</v>
      </c>
      <c r="V21" s="79"/>
      <c r="W21" s="79"/>
      <c r="X21" s="79"/>
      <c r="Y21" s="79"/>
      <c r="Z21" s="79"/>
      <c r="AA21" s="79"/>
    </row>
    <row r="22">
      <c r="A22" s="82" t="s">
        <v>34</v>
      </c>
      <c r="B22" s="83">
        <v>170.0</v>
      </c>
      <c r="C22" s="83">
        <v>174.0</v>
      </c>
      <c r="D22" s="85">
        <v>184.0</v>
      </c>
      <c r="E22" s="85">
        <v>164.0</v>
      </c>
      <c r="F22" s="85">
        <v>168.0</v>
      </c>
      <c r="G22" s="84">
        <f>187-21</f>
        <v>166</v>
      </c>
      <c r="H22" s="85">
        <v>183.0</v>
      </c>
      <c r="I22" s="85">
        <v>92.0</v>
      </c>
      <c r="J22" s="84">
        <f>149-24</f>
        <v>125</v>
      </c>
      <c r="K22" s="85">
        <v>189.0</v>
      </c>
      <c r="L22" s="85">
        <v>183.0</v>
      </c>
      <c r="M22" s="85">
        <v>159.0</v>
      </c>
      <c r="N22" s="84">
        <f>201-23</f>
        <v>178</v>
      </c>
      <c r="O22" s="85">
        <v>183.0</v>
      </c>
      <c r="P22" s="85">
        <v>129.0</v>
      </c>
      <c r="Q22" s="69">
        <v>99.0</v>
      </c>
      <c r="R22" s="85">
        <v>186.0</v>
      </c>
      <c r="S22" s="85">
        <v>177.0</v>
      </c>
      <c r="T22" s="85">
        <v>118.0</v>
      </c>
      <c r="U22" s="86">
        <v>112.0</v>
      </c>
      <c r="V22" s="85"/>
      <c r="W22" s="85"/>
      <c r="X22" s="85"/>
      <c r="Y22" s="85"/>
      <c r="Z22" s="85"/>
      <c r="AA22" s="87"/>
      <c r="AB22" s="87"/>
      <c r="AC22" s="88"/>
      <c r="AD22" s="88"/>
      <c r="AE22" s="88"/>
      <c r="AF22" s="88"/>
      <c r="AG22" s="88"/>
      <c r="AH22" s="88"/>
      <c r="AI22" s="88"/>
      <c r="AJ22" s="88"/>
      <c r="AK22" s="88"/>
      <c r="AL22" s="88"/>
      <c r="AM22" s="89"/>
      <c r="AN22" s="88"/>
      <c r="AO22" s="88"/>
    </row>
    <row r="23">
      <c r="A23" s="90" t="s">
        <v>35</v>
      </c>
      <c r="B23" s="661" t="s">
        <v>1058</v>
      </c>
      <c r="C23" s="662" t="s">
        <v>1059</v>
      </c>
      <c r="D23" s="662" t="s">
        <v>1060</v>
      </c>
      <c r="E23" s="663" t="s">
        <v>1061</v>
      </c>
      <c r="F23" s="663" t="s">
        <v>1062</v>
      </c>
      <c r="G23" s="663" t="s">
        <v>1063</v>
      </c>
      <c r="H23" s="663" t="s">
        <v>1064</v>
      </c>
      <c r="I23" s="663" t="s">
        <v>1065</v>
      </c>
      <c r="J23" s="663" t="s">
        <v>1066</v>
      </c>
      <c r="K23" s="664" t="s">
        <v>1067</v>
      </c>
      <c r="L23" s="396" t="s">
        <v>1068</v>
      </c>
      <c r="M23" s="664" t="s">
        <v>1069</v>
      </c>
      <c r="N23" s="664" t="s">
        <v>1070</v>
      </c>
      <c r="O23" s="396" t="s">
        <v>1071</v>
      </c>
      <c r="P23" s="664" t="s">
        <v>1072</v>
      </c>
      <c r="Q23" s="664" t="s">
        <v>1073</v>
      </c>
      <c r="R23" s="396" t="s">
        <v>1074</v>
      </c>
      <c r="S23" s="396" t="s">
        <v>1075</v>
      </c>
      <c r="T23" s="664" t="s">
        <v>1076</v>
      </c>
      <c r="U23" s="665" t="s">
        <v>1077</v>
      </c>
      <c r="V23" s="91"/>
      <c r="W23" s="91"/>
      <c r="X23" s="91"/>
      <c r="Y23" s="91"/>
      <c r="Z23" s="91"/>
      <c r="AA23" s="91"/>
      <c r="AB23" s="94"/>
      <c r="AC23" s="95"/>
      <c r="AD23" s="95"/>
      <c r="AE23" s="95"/>
      <c r="AF23" s="95"/>
      <c r="AG23" s="95"/>
      <c r="AH23" s="95"/>
      <c r="AI23" s="95"/>
      <c r="AJ23" s="95"/>
      <c r="AK23" s="95"/>
      <c r="AL23" s="95"/>
      <c r="AM23" s="95"/>
      <c r="AN23" s="95"/>
      <c r="AO23" s="95"/>
    </row>
    <row r="24">
      <c r="A24" s="96" t="s">
        <v>36</v>
      </c>
      <c r="B24" s="97">
        <v>0.0</v>
      </c>
      <c r="C24" s="97">
        <v>1.0</v>
      </c>
      <c r="D24" s="97">
        <v>1.0</v>
      </c>
      <c r="E24" s="97">
        <v>1.0</v>
      </c>
      <c r="F24" s="97">
        <v>1.0</v>
      </c>
      <c r="G24" s="97">
        <v>1.0</v>
      </c>
      <c r="H24" s="97">
        <v>1.0</v>
      </c>
      <c r="I24" s="97">
        <v>1.0</v>
      </c>
      <c r="J24" s="97">
        <v>1.0</v>
      </c>
      <c r="K24" s="97">
        <v>1.0</v>
      </c>
      <c r="L24" s="98">
        <v>0.0</v>
      </c>
      <c r="M24" s="97">
        <v>1.0</v>
      </c>
      <c r="N24" s="97">
        <v>1.0</v>
      </c>
      <c r="O24" s="97">
        <v>0.0</v>
      </c>
      <c r="P24" s="97">
        <v>1.0</v>
      </c>
      <c r="Q24" s="97">
        <v>1.0</v>
      </c>
      <c r="R24" s="98">
        <v>0.0</v>
      </c>
      <c r="S24" s="98">
        <v>0.0</v>
      </c>
      <c r="T24" s="444">
        <v>1.0</v>
      </c>
      <c r="U24" s="97">
        <v>1.0</v>
      </c>
      <c r="V24" s="98">
        <v>0.0</v>
      </c>
      <c r="W24" s="98">
        <v>0.0</v>
      </c>
      <c r="X24" s="98">
        <v>0.0</v>
      </c>
      <c r="Y24" s="98">
        <v>0.0</v>
      </c>
      <c r="Z24" s="98">
        <v>0.0</v>
      </c>
      <c r="AA24" s="98">
        <v>0.0</v>
      </c>
      <c r="AB24" s="99"/>
      <c r="AC24" s="100"/>
      <c r="AD24" s="100"/>
      <c r="AE24" s="100"/>
      <c r="AF24" s="100"/>
      <c r="AG24" s="100"/>
      <c r="AH24" s="100"/>
      <c r="AI24" s="100"/>
      <c r="AJ24" s="100"/>
      <c r="AK24" s="100"/>
      <c r="AL24" s="100"/>
      <c r="AM24" s="100"/>
      <c r="AN24" s="100"/>
      <c r="AO24" s="100"/>
    </row>
    <row r="25">
      <c r="A25" s="101" t="s">
        <v>37</v>
      </c>
      <c r="B25" s="102">
        <f t="shared" ref="B25:AA25" si="3">IFERROR(B19/B8, 0)</f>
        <v>0.6086956522</v>
      </c>
      <c r="C25" s="102">
        <f t="shared" si="3"/>
        <v>1.016042781</v>
      </c>
      <c r="D25" s="102">
        <f t="shared" si="3"/>
        <v>0.8571428571</v>
      </c>
      <c r="E25" s="102">
        <f t="shared" si="3"/>
        <v>0.8192090395</v>
      </c>
      <c r="F25" s="102">
        <f t="shared" si="3"/>
        <v>0.9668508287</v>
      </c>
      <c r="G25" s="102">
        <f t="shared" si="3"/>
        <v>0.9839572193</v>
      </c>
      <c r="H25" s="102">
        <f t="shared" si="3"/>
        <v>0.9398907104</v>
      </c>
      <c r="I25" s="102">
        <f t="shared" si="3"/>
        <v>0.9690721649</v>
      </c>
      <c r="J25" s="102">
        <f t="shared" si="3"/>
        <v>0.9731543624</v>
      </c>
      <c r="K25" s="102">
        <f t="shared" si="3"/>
        <v>0.7676767677</v>
      </c>
      <c r="L25" s="102">
        <f t="shared" si="3"/>
        <v>0.6230366492</v>
      </c>
      <c r="M25" s="102">
        <f t="shared" si="3"/>
        <v>0.8083832335</v>
      </c>
      <c r="N25" s="102">
        <f t="shared" si="3"/>
        <v>0.7064676617</v>
      </c>
      <c r="O25" s="102">
        <f t="shared" si="3"/>
        <v>0.8367346939</v>
      </c>
      <c r="P25" s="102">
        <f t="shared" si="3"/>
        <v>1.05027933</v>
      </c>
      <c r="Q25" s="102">
        <f t="shared" si="3"/>
        <v>0.8596491228</v>
      </c>
      <c r="R25" s="102">
        <f t="shared" si="3"/>
        <v>0.5326633166</v>
      </c>
      <c r="S25" s="102">
        <f t="shared" si="3"/>
        <v>0.8505154639</v>
      </c>
      <c r="T25" s="445">
        <f t="shared" si="3"/>
        <v>0.8719211823</v>
      </c>
      <c r="U25" s="102">
        <f t="shared" si="3"/>
        <v>0.9487179487</v>
      </c>
      <c r="V25" s="102">
        <f t="shared" si="3"/>
        <v>0</v>
      </c>
      <c r="W25" s="102">
        <f t="shared" si="3"/>
        <v>0</v>
      </c>
      <c r="X25" s="102">
        <f t="shared" si="3"/>
        <v>0</v>
      </c>
      <c r="Y25" s="102">
        <f t="shared" si="3"/>
        <v>0</v>
      </c>
      <c r="Z25" s="102">
        <f t="shared" si="3"/>
        <v>0</v>
      </c>
      <c r="AA25" s="102">
        <f t="shared" si="3"/>
        <v>0</v>
      </c>
    </row>
    <row r="26">
      <c r="A26" s="105" t="s">
        <v>38</v>
      </c>
      <c r="B26" s="106">
        <f t="shared" ref="B26:AA26" si="4">IFERROR(B12/B18, 0)</f>
        <v>0.07476635514</v>
      </c>
      <c r="C26" s="106">
        <f t="shared" si="4"/>
        <v>0.1789473684</v>
      </c>
      <c r="D26" s="106">
        <f t="shared" si="4"/>
        <v>0.2962962963</v>
      </c>
      <c r="E26" s="106">
        <f t="shared" si="4"/>
        <v>0.3409090909</v>
      </c>
      <c r="F26" s="106">
        <f t="shared" si="4"/>
        <v>0.487654321</v>
      </c>
      <c r="G26" s="106">
        <f t="shared" si="4"/>
        <v>0.2085889571</v>
      </c>
      <c r="H26" s="106">
        <f t="shared" si="4"/>
        <v>0.2441860465</v>
      </c>
      <c r="I26" s="106">
        <f t="shared" si="4"/>
        <v>0.09574468085</v>
      </c>
      <c r="J26" s="106">
        <f t="shared" si="4"/>
        <v>0.2857142857</v>
      </c>
      <c r="K26" s="106">
        <f t="shared" si="4"/>
        <v>0.2368421053</v>
      </c>
      <c r="L26" s="106">
        <f t="shared" si="4"/>
        <v>0.2162162162</v>
      </c>
      <c r="M26" s="106">
        <f t="shared" si="4"/>
        <v>0.3851851852</v>
      </c>
      <c r="N26" s="106">
        <f t="shared" si="4"/>
        <v>0.3333333333</v>
      </c>
      <c r="O26" s="106">
        <f t="shared" si="4"/>
        <v>0.1960784314</v>
      </c>
      <c r="P26" s="106">
        <f t="shared" si="4"/>
        <v>0.5652173913</v>
      </c>
      <c r="Q26" s="106">
        <f t="shared" si="4"/>
        <v>0.2705882353</v>
      </c>
      <c r="R26" s="106">
        <f t="shared" si="4"/>
        <v>0.5714285714</v>
      </c>
      <c r="S26" s="106">
        <f t="shared" si="4"/>
        <v>0.1558441558</v>
      </c>
      <c r="T26" s="446">
        <f t="shared" si="4"/>
        <v>0.4754098361</v>
      </c>
      <c r="U26" s="106">
        <f t="shared" si="4"/>
        <v>0.4</v>
      </c>
      <c r="V26" s="106">
        <f t="shared" si="4"/>
        <v>0</v>
      </c>
      <c r="W26" s="106">
        <f t="shared" si="4"/>
        <v>0</v>
      </c>
      <c r="X26" s="106">
        <f t="shared" si="4"/>
        <v>0</v>
      </c>
      <c r="Y26" s="106">
        <f t="shared" si="4"/>
        <v>0</v>
      </c>
      <c r="Z26" s="106">
        <f t="shared" si="4"/>
        <v>0</v>
      </c>
      <c r="AA26" s="106">
        <f t="shared" si="4"/>
        <v>0</v>
      </c>
    </row>
    <row r="27">
      <c r="A27" s="109" t="s">
        <v>39</v>
      </c>
      <c r="B27" s="110">
        <f t="shared" ref="B27:AA27" si="5">IFERROR(B20/B18, 0)</f>
        <v>0.1962616822</v>
      </c>
      <c r="C27" s="110">
        <f t="shared" si="5"/>
        <v>0.2789473684</v>
      </c>
      <c r="D27" s="110">
        <f t="shared" si="5"/>
        <v>0.3518518519</v>
      </c>
      <c r="E27" s="110">
        <f t="shared" si="5"/>
        <v>0.4166666667</v>
      </c>
      <c r="F27" s="110">
        <f t="shared" si="5"/>
        <v>0.3518518519</v>
      </c>
      <c r="G27" s="110">
        <f t="shared" si="5"/>
        <v>0.7484662577</v>
      </c>
      <c r="H27" s="110">
        <f t="shared" si="5"/>
        <v>0.5872093023</v>
      </c>
      <c r="I27" s="110">
        <f t="shared" si="5"/>
        <v>0.1808510638</v>
      </c>
      <c r="J27" s="110">
        <f t="shared" si="5"/>
        <v>0.5</v>
      </c>
      <c r="K27" s="110">
        <f t="shared" si="5"/>
        <v>0.3618421053</v>
      </c>
      <c r="L27" s="110">
        <f t="shared" si="5"/>
        <v>0.3963963964</v>
      </c>
      <c r="M27" s="110">
        <f t="shared" si="5"/>
        <v>0.4074074074</v>
      </c>
      <c r="N27" s="110">
        <f t="shared" si="5"/>
        <v>0.496124031</v>
      </c>
      <c r="O27" s="110">
        <f t="shared" si="5"/>
        <v>0.5032679739</v>
      </c>
      <c r="P27" s="110">
        <f t="shared" si="5"/>
        <v>0.6594202899</v>
      </c>
      <c r="Q27" s="110">
        <f t="shared" si="5"/>
        <v>0.5764705882</v>
      </c>
      <c r="R27" s="110">
        <f t="shared" si="5"/>
        <v>0.6224489796</v>
      </c>
      <c r="S27" s="110">
        <f t="shared" si="5"/>
        <v>0.3571428571</v>
      </c>
      <c r="T27" s="447">
        <f t="shared" si="5"/>
        <v>0.3278688525</v>
      </c>
      <c r="U27" s="110">
        <f t="shared" si="5"/>
        <v>0.168</v>
      </c>
      <c r="V27" s="110">
        <f t="shared" si="5"/>
        <v>0</v>
      </c>
      <c r="W27" s="110">
        <f t="shared" si="5"/>
        <v>0</v>
      </c>
      <c r="X27" s="110">
        <f t="shared" si="5"/>
        <v>0</v>
      </c>
      <c r="Y27" s="110">
        <f t="shared" si="5"/>
        <v>0</v>
      </c>
      <c r="Z27" s="110">
        <f t="shared" si="5"/>
        <v>0</v>
      </c>
      <c r="AA27" s="110">
        <f t="shared" si="5"/>
        <v>0</v>
      </c>
      <c r="AB27" s="112"/>
      <c r="AC27" s="113"/>
      <c r="AD27" s="113"/>
      <c r="AE27" s="113"/>
      <c r="AF27" s="113"/>
      <c r="AG27" s="113"/>
      <c r="AH27" s="113"/>
      <c r="AI27" s="113"/>
      <c r="AJ27" s="113"/>
      <c r="AK27" s="113"/>
      <c r="AL27" s="113"/>
      <c r="AM27" s="113"/>
      <c r="AN27" s="113"/>
      <c r="AO27" s="113"/>
    </row>
    <row r="28">
      <c r="A28" s="114" t="s">
        <v>40</v>
      </c>
      <c r="B28" s="115">
        <f t="shared" ref="B28:AA28" si="6">B22/B8</f>
        <v>0.9239130435</v>
      </c>
      <c r="C28" s="115">
        <f t="shared" si="6"/>
        <v>0.9304812834</v>
      </c>
      <c r="D28" s="115">
        <f t="shared" si="6"/>
        <v>0.9735449735</v>
      </c>
      <c r="E28" s="115">
        <f t="shared" si="6"/>
        <v>0.9265536723</v>
      </c>
      <c r="F28" s="115">
        <f t="shared" si="6"/>
        <v>0.9281767956</v>
      </c>
      <c r="G28" s="115">
        <f t="shared" si="6"/>
        <v>0.8877005348</v>
      </c>
      <c r="H28" s="115">
        <f t="shared" si="6"/>
        <v>1</v>
      </c>
      <c r="I28" s="115">
        <f t="shared" si="6"/>
        <v>0.9484536082</v>
      </c>
      <c r="J28" s="115">
        <f t="shared" si="6"/>
        <v>0.8389261745</v>
      </c>
      <c r="K28" s="115">
        <f t="shared" si="6"/>
        <v>0.9545454545</v>
      </c>
      <c r="L28" s="115">
        <f t="shared" si="6"/>
        <v>0.9581151832</v>
      </c>
      <c r="M28" s="115">
        <f t="shared" si="6"/>
        <v>0.9520958084</v>
      </c>
      <c r="N28" s="115">
        <f t="shared" si="6"/>
        <v>0.8855721393</v>
      </c>
      <c r="O28" s="115">
        <f t="shared" si="6"/>
        <v>0.9336734694</v>
      </c>
      <c r="P28" s="115">
        <f t="shared" si="6"/>
        <v>0.7206703911</v>
      </c>
      <c r="Q28" s="115">
        <f t="shared" si="6"/>
        <v>0.8684210526</v>
      </c>
      <c r="R28" s="115">
        <f t="shared" si="6"/>
        <v>0.9346733668</v>
      </c>
      <c r="S28" s="115">
        <f t="shared" si="6"/>
        <v>0.912371134</v>
      </c>
      <c r="T28" s="448">
        <f t="shared" si="6"/>
        <v>0.5812807882</v>
      </c>
      <c r="U28" s="115">
        <f t="shared" si="6"/>
        <v>0.5743589744</v>
      </c>
      <c r="V28" s="115">
        <f t="shared" si="6"/>
        <v>0</v>
      </c>
      <c r="W28" s="115" t="str">
        <f t="shared" si="6"/>
        <v>#DIV/0!</v>
      </c>
      <c r="X28" s="115" t="str">
        <f t="shared" si="6"/>
        <v>#DIV/0!</v>
      </c>
      <c r="Y28" s="115" t="str">
        <f t="shared" si="6"/>
        <v>#DIV/0!</v>
      </c>
      <c r="Z28" s="115" t="str">
        <f t="shared" si="6"/>
        <v>#DIV/0!</v>
      </c>
      <c r="AA28" s="115" t="str">
        <f t="shared" si="6"/>
        <v>#DIV/0!</v>
      </c>
      <c r="AB28" s="112"/>
      <c r="AC28" s="113"/>
      <c r="AD28" s="113"/>
      <c r="AE28" s="113"/>
      <c r="AF28" s="113"/>
      <c r="AG28" s="113"/>
      <c r="AH28" s="113"/>
      <c r="AI28" s="113"/>
      <c r="AJ28" s="113"/>
      <c r="AK28" s="113"/>
      <c r="AL28" s="113"/>
      <c r="AM28" s="113"/>
      <c r="AN28" s="113"/>
      <c r="AO28" s="113"/>
    </row>
    <row r="29" ht="18.75" customHeight="1">
      <c r="A29" s="600" t="s">
        <v>976</v>
      </c>
      <c r="B29" s="601">
        <f t="shared" ref="B29:AA29" si="7">B12/B8</f>
        <v>0.04347826087</v>
      </c>
      <c r="C29" s="601">
        <f t="shared" si="7"/>
        <v>0.1818181818</v>
      </c>
      <c r="D29" s="601">
        <f t="shared" si="7"/>
        <v>0.253968254</v>
      </c>
      <c r="E29" s="601">
        <f t="shared" si="7"/>
        <v>0.2542372881</v>
      </c>
      <c r="F29" s="601">
        <f t="shared" si="7"/>
        <v>0.4364640884</v>
      </c>
      <c r="G29" s="601">
        <f t="shared" si="7"/>
        <v>0.1818181818</v>
      </c>
      <c r="H29" s="601">
        <f t="shared" si="7"/>
        <v>0.2295081967</v>
      </c>
      <c r="I29" s="601">
        <f t="shared" si="7"/>
        <v>0.09278350515</v>
      </c>
      <c r="J29" s="601">
        <f t="shared" si="7"/>
        <v>0.2416107383</v>
      </c>
      <c r="K29" s="601">
        <f t="shared" si="7"/>
        <v>0.1818181818</v>
      </c>
      <c r="L29" s="601">
        <f t="shared" si="7"/>
        <v>0.1256544503</v>
      </c>
      <c r="M29" s="601">
        <f t="shared" si="7"/>
        <v>0.3113772455</v>
      </c>
      <c r="N29" s="601">
        <f t="shared" si="7"/>
        <v>0.2139303483</v>
      </c>
      <c r="O29" s="601">
        <f t="shared" si="7"/>
        <v>0.1530612245</v>
      </c>
      <c r="P29" s="601">
        <f t="shared" si="7"/>
        <v>0.4357541899</v>
      </c>
      <c r="Q29" s="601">
        <f t="shared" si="7"/>
        <v>0.201754386</v>
      </c>
      <c r="R29" s="601">
        <f t="shared" si="7"/>
        <v>0.2814070352</v>
      </c>
      <c r="S29" s="601">
        <f t="shared" si="7"/>
        <v>0.1237113402</v>
      </c>
      <c r="T29" s="666">
        <f t="shared" si="7"/>
        <v>0.2857142857</v>
      </c>
      <c r="U29" s="601">
        <f t="shared" si="7"/>
        <v>0.2564102564</v>
      </c>
      <c r="V29" s="601">
        <f t="shared" si="7"/>
        <v>0</v>
      </c>
      <c r="W29" s="601" t="str">
        <f t="shared" si="7"/>
        <v>#DIV/0!</v>
      </c>
      <c r="X29" s="601" t="str">
        <f t="shared" si="7"/>
        <v>#DIV/0!</v>
      </c>
      <c r="Y29" s="601" t="str">
        <f t="shared" si="7"/>
        <v>#DIV/0!</v>
      </c>
      <c r="Z29" s="601" t="str">
        <f t="shared" si="7"/>
        <v>#DIV/0!</v>
      </c>
      <c r="AA29" s="601" t="str">
        <f t="shared" si="7"/>
        <v>#DIV/0!</v>
      </c>
      <c r="AB29" s="603"/>
      <c r="AC29" s="603"/>
      <c r="AD29" s="603"/>
      <c r="AE29" s="603"/>
      <c r="AF29" s="603"/>
      <c r="AG29" s="604"/>
      <c r="AH29" s="604"/>
      <c r="AI29" s="604"/>
      <c r="AJ29" s="604"/>
      <c r="AK29" s="604"/>
      <c r="AL29" s="604"/>
      <c r="AM29" s="604"/>
      <c r="AN29" s="604"/>
      <c r="AO29" s="604"/>
    </row>
    <row r="30">
      <c r="A30" s="117" t="s">
        <v>41</v>
      </c>
      <c r="B30" s="118"/>
      <c r="C30" s="119"/>
      <c r="D30" s="119"/>
      <c r="E30" s="119"/>
      <c r="F30" s="119"/>
      <c r="G30" s="119"/>
      <c r="H30" s="119"/>
      <c r="I30" s="119"/>
      <c r="J30" s="119"/>
      <c r="K30" s="119"/>
      <c r="L30" s="119"/>
      <c r="M30" s="119"/>
      <c r="N30" s="119"/>
      <c r="O30" s="119"/>
      <c r="P30" s="119"/>
      <c r="Q30" s="119"/>
      <c r="R30" s="119"/>
      <c r="S30" s="119"/>
      <c r="T30" s="119"/>
      <c r="U30" s="120"/>
      <c r="V30" s="119"/>
      <c r="W30" s="119"/>
      <c r="X30" s="119"/>
      <c r="Y30" s="119"/>
      <c r="Z30" s="119"/>
      <c r="AA30" s="119"/>
      <c r="AB30" s="121"/>
      <c r="AC30" s="121"/>
      <c r="AD30" s="121"/>
      <c r="AE30" s="121"/>
      <c r="AF30" s="121"/>
      <c r="AG30" s="99"/>
      <c r="AH30" s="99"/>
      <c r="AI30" s="99"/>
      <c r="AJ30" s="99"/>
      <c r="AK30" s="99"/>
      <c r="AL30" s="99"/>
      <c r="AM30" s="99"/>
      <c r="AN30" s="99"/>
      <c r="AO30" s="99"/>
    </row>
    <row r="31">
      <c r="A31" s="184" t="s">
        <v>141</v>
      </c>
      <c r="B31" s="185">
        <f t="shared" ref="B31:AA31" si="8">B76/B8</f>
        <v>0</v>
      </c>
      <c r="C31" s="185">
        <f t="shared" si="8"/>
        <v>0</v>
      </c>
      <c r="D31" s="185">
        <f t="shared" si="8"/>
        <v>0</v>
      </c>
      <c r="E31" s="185">
        <f t="shared" si="8"/>
        <v>0</v>
      </c>
      <c r="F31" s="185">
        <f t="shared" si="8"/>
        <v>0</v>
      </c>
      <c r="G31" s="185">
        <f t="shared" si="8"/>
        <v>0</v>
      </c>
      <c r="H31" s="185">
        <f t="shared" si="8"/>
        <v>0</v>
      </c>
      <c r="I31" s="185">
        <f t="shared" si="8"/>
        <v>0</v>
      </c>
      <c r="J31" s="185">
        <f t="shared" si="8"/>
        <v>0</v>
      </c>
      <c r="K31" s="185">
        <f t="shared" si="8"/>
        <v>0</v>
      </c>
      <c r="L31" s="185">
        <f t="shared" si="8"/>
        <v>0</v>
      </c>
      <c r="M31" s="185">
        <f t="shared" si="8"/>
        <v>0</v>
      </c>
      <c r="N31" s="185">
        <f t="shared" si="8"/>
        <v>0</v>
      </c>
      <c r="O31" s="185">
        <f t="shared" si="8"/>
        <v>0</v>
      </c>
      <c r="P31" s="185">
        <f t="shared" si="8"/>
        <v>0</v>
      </c>
      <c r="Q31" s="185">
        <f t="shared" si="8"/>
        <v>0</v>
      </c>
      <c r="R31" s="185">
        <f t="shared" si="8"/>
        <v>0</v>
      </c>
      <c r="S31" s="185">
        <f t="shared" si="8"/>
        <v>0</v>
      </c>
      <c r="T31" s="185">
        <f t="shared" si="8"/>
        <v>0</v>
      </c>
      <c r="U31" s="185">
        <f t="shared" si="8"/>
        <v>0</v>
      </c>
      <c r="V31" s="185">
        <f t="shared" si="8"/>
        <v>0</v>
      </c>
      <c r="W31" s="185" t="str">
        <f t="shared" si="8"/>
        <v>#DIV/0!</v>
      </c>
      <c r="X31" s="185" t="str">
        <f t="shared" si="8"/>
        <v>#DIV/0!</v>
      </c>
      <c r="Y31" s="185" t="str">
        <f t="shared" si="8"/>
        <v>#DIV/0!</v>
      </c>
      <c r="Z31" s="185" t="str">
        <f t="shared" si="8"/>
        <v>#DIV/0!</v>
      </c>
      <c r="AA31" s="185" t="str">
        <f t="shared" si="8"/>
        <v>#DIV/0!</v>
      </c>
      <c r="AB31" s="240"/>
      <c r="AC31" s="186"/>
      <c r="AD31" s="186"/>
      <c r="AE31" s="186"/>
      <c r="AF31" s="186"/>
      <c r="AG31" s="186"/>
      <c r="AH31" s="186"/>
      <c r="AI31" s="186"/>
      <c r="AJ31" s="186"/>
      <c r="AK31" s="186"/>
      <c r="AL31" s="186"/>
      <c r="AM31" s="186"/>
      <c r="AN31" s="186"/>
      <c r="AO31" s="147"/>
    </row>
    <row r="32">
      <c r="A32" s="187" t="s">
        <v>42</v>
      </c>
      <c r="B32" s="191">
        <v>0.34</v>
      </c>
      <c r="C32" s="191">
        <v>0.3957</v>
      </c>
      <c r="D32" s="191">
        <v>0.51</v>
      </c>
      <c r="E32" s="191">
        <v>0.34</v>
      </c>
      <c r="F32" s="191">
        <v>0.31</v>
      </c>
      <c r="G32" s="191">
        <v>0.41</v>
      </c>
      <c r="H32" s="191">
        <v>0.35</v>
      </c>
      <c r="I32" s="185">
        <f>63/97</f>
        <v>0.6494845361</v>
      </c>
      <c r="J32" s="185">
        <f>59/149</f>
        <v>0.3959731544</v>
      </c>
      <c r="K32" s="185">
        <f>86/198</f>
        <v>0.4343434343</v>
      </c>
      <c r="L32" s="185">
        <f>74/191</f>
        <v>0.387434555</v>
      </c>
      <c r="M32" s="191">
        <v>0.3173</v>
      </c>
      <c r="N32" s="191">
        <v>0.185</v>
      </c>
      <c r="O32" s="191">
        <v>0.47</v>
      </c>
      <c r="P32" s="191">
        <v>0.5</v>
      </c>
      <c r="Q32" s="191">
        <v>0.35</v>
      </c>
      <c r="R32" s="191">
        <v>0.33</v>
      </c>
      <c r="S32" s="191">
        <v>0.39</v>
      </c>
      <c r="T32" s="450">
        <v>0.3</v>
      </c>
      <c r="U32" s="191">
        <v>0.22</v>
      </c>
      <c r="V32" s="185">
        <v>0.0</v>
      </c>
      <c r="W32" s="185">
        <v>0.0</v>
      </c>
      <c r="X32" s="185">
        <v>0.0</v>
      </c>
      <c r="Y32" s="185">
        <v>0.0</v>
      </c>
      <c r="Z32" s="185">
        <v>0.0</v>
      </c>
      <c r="AA32" s="185">
        <v>0.0</v>
      </c>
      <c r="AB32" s="188"/>
      <c r="AC32" s="189"/>
      <c r="AD32" s="189"/>
      <c r="AE32" s="189"/>
      <c r="AF32" s="189"/>
      <c r="AG32" s="147"/>
      <c r="AH32" s="147"/>
      <c r="AI32" s="147"/>
      <c r="AJ32" s="147"/>
      <c r="AK32" s="147"/>
      <c r="AL32" s="147"/>
      <c r="AM32" s="147"/>
      <c r="AN32" s="147"/>
      <c r="AO32" s="147"/>
    </row>
    <row r="33">
      <c r="A33" s="190" t="s">
        <v>43</v>
      </c>
      <c r="B33" s="185">
        <v>1.0</v>
      </c>
      <c r="C33" s="191">
        <v>1.0</v>
      </c>
      <c r="D33" s="191">
        <v>1.0</v>
      </c>
      <c r="E33" s="191">
        <v>1.0</v>
      </c>
      <c r="F33" s="191">
        <v>1.0</v>
      </c>
      <c r="G33" s="191">
        <v>1.0</v>
      </c>
      <c r="H33" s="191">
        <v>1.0</v>
      </c>
      <c r="I33" s="191">
        <v>1.0</v>
      </c>
      <c r="J33" s="191">
        <v>1.0</v>
      </c>
      <c r="K33" s="191">
        <v>1.0</v>
      </c>
      <c r="L33" s="191">
        <v>1.0</v>
      </c>
      <c r="M33" s="191">
        <v>1.0</v>
      </c>
      <c r="N33" s="191">
        <v>1.0</v>
      </c>
      <c r="O33" s="191">
        <v>1.0</v>
      </c>
      <c r="P33" s="191">
        <v>1.0</v>
      </c>
      <c r="Q33" s="191">
        <v>1.0</v>
      </c>
      <c r="R33" s="191">
        <v>1.0</v>
      </c>
      <c r="S33" s="191">
        <v>1.0</v>
      </c>
      <c r="T33" s="450">
        <v>1.0</v>
      </c>
      <c r="U33" s="191">
        <v>1.0</v>
      </c>
      <c r="V33" s="185">
        <v>0.0</v>
      </c>
      <c r="W33" s="185">
        <v>0.0</v>
      </c>
      <c r="X33" s="185">
        <v>0.0</v>
      </c>
      <c r="Y33" s="185">
        <v>0.0</v>
      </c>
      <c r="Z33" s="185">
        <v>0.0</v>
      </c>
      <c r="AA33" s="185">
        <v>0.0</v>
      </c>
      <c r="AB33" s="189"/>
      <c r="AC33" s="189"/>
      <c r="AD33" s="189"/>
      <c r="AE33" s="189"/>
      <c r="AF33" s="189"/>
      <c r="AG33" s="147"/>
      <c r="AH33" s="147"/>
      <c r="AI33" s="147"/>
      <c r="AJ33" s="147"/>
      <c r="AK33" s="147"/>
      <c r="AL33" s="147"/>
      <c r="AM33" s="147"/>
      <c r="AN33" s="147"/>
      <c r="AO33" s="147"/>
    </row>
    <row r="34">
      <c r="A34" s="190" t="s">
        <v>44</v>
      </c>
      <c r="B34" s="192">
        <f t="shared" ref="B34:AA34" si="9">(B24*0.7) + (IF(B32 &gt;= 30%, 1, 0)*0.15) + (B33*0.15)</f>
        <v>0.3</v>
      </c>
      <c r="C34" s="192">
        <f t="shared" si="9"/>
        <v>1</v>
      </c>
      <c r="D34" s="192">
        <f t="shared" si="9"/>
        <v>1</v>
      </c>
      <c r="E34" s="192">
        <f t="shared" si="9"/>
        <v>1</v>
      </c>
      <c r="F34" s="192">
        <f t="shared" si="9"/>
        <v>1</v>
      </c>
      <c r="G34" s="192">
        <f t="shared" si="9"/>
        <v>1</v>
      </c>
      <c r="H34" s="192">
        <f t="shared" si="9"/>
        <v>1</v>
      </c>
      <c r="I34" s="192">
        <f t="shared" si="9"/>
        <v>1</v>
      </c>
      <c r="J34" s="192">
        <f t="shared" si="9"/>
        <v>1</v>
      </c>
      <c r="K34" s="192">
        <f t="shared" si="9"/>
        <v>1</v>
      </c>
      <c r="L34" s="192">
        <f t="shared" si="9"/>
        <v>0.3</v>
      </c>
      <c r="M34" s="192">
        <f t="shared" si="9"/>
        <v>1</v>
      </c>
      <c r="N34" s="192">
        <f t="shared" si="9"/>
        <v>0.85</v>
      </c>
      <c r="O34" s="192">
        <f t="shared" si="9"/>
        <v>0.3</v>
      </c>
      <c r="P34" s="192">
        <f t="shared" si="9"/>
        <v>1</v>
      </c>
      <c r="Q34" s="192">
        <f t="shared" si="9"/>
        <v>1</v>
      </c>
      <c r="R34" s="192">
        <f t="shared" si="9"/>
        <v>0.3</v>
      </c>
      <c r="S34" s="192">
        <f t="shared" si="9"/>
        <v>0.3</v>
      </c>
      <c r="T34" s="451">
        <f t="shared" si="9"/>
        <v>1</v>
      </c>
      <c r="U34" s="192">
        <f t="shared" si="9"/>
        <v>0.85</v>
      </c>
      <c r="V34" s="192">
        <f t="shared" si="9"/>
        <v>0</v>
      </c>
      <c r="W34" s="192">
        <f t="shared" si="9"/>
        <v>0</v>
      </c>
      <c r="X34" s="192">
        <f t="shared" si="9"/>
        <v>0</v>
      </c>
      <c r="Y34" s="192">
        <f t="shared" si="9"/>
        <v>0</v>
      </c>
      <c r="Z34" s="192">
        <f t="shared" si="9"/>
        <v>0</v>
      </c>
      <c r="AA34" s="192">
        <f t="shared" si="9"/>
        <v>0</v>
      </c>
      <c r="AB34" s="189"/>
      <c r="AC34" s="189"/>
      <c r="AD34" s="189"/>
      <c r="AE34" s="189"/>
      <c r="AF34" s="189"/>
      <c r="AG34" s="147"/>
      <c r="AH34" s="147"/>
      <c r="AI34" s="147"/>
      <c r="AJ34" s="147"/>
      <c r="AK34" s="147"/>
      <c r="AL34" s="147"/>
      <c r="AM34" s="147"/>
      <c r="AN34" s="147"/>
      <c r="AO34" s="147"/>
    </row>
    <row r="35">
      <c r="A35" s="193" t="s">
        <v>142</v>
      </c>
      <c r="B35" s="192"/>
      <c r="C35" s="192"/>
      <c r="D35" s="192"/>
      <c r="E35" s="192"/>
      <c r="F35" s="192"/>
      <c r="G35" s="192"/>
      <c r="H35" s="192"/>
      <c r="I35" s="192"/>
      <c r="J35" s="192"/>
      <c r="K35" s="192"/>
      <c r="L35" s="192"/>
      <c r="M35" s="192"/>
      <c r="N35" s="192"/>
      <c r="O35" s="192">
        <v>0.3</v>
      </c>
      <c r="P35" s="192">
        <v>1.0</v>
      </c>
      <c r="Q35" s="192">
        <v>1.0</v>
      </c>
      <c r="R35" s="192">
        <v>0.3</v>
      </c>
      <c r="S35" s="192">
        <v>0.3</v>
      </c>
      <c r="T35" s="451">
        <v>1.0</v>
      </c>
      <c r="U35" s="192"/>
      <c r="V35" s="192"/>
      <c r="W35" s="192"/>
      <c r="X35" s="192"/>
      <c r="Y35" s="192"/>
      <c r="Z35" s="192"/>
      <c r="AA35" s="192"/>
      <c r="AB35" s="189"/>
      <c r="AC35" s="189"/>
      <c r="AD35" s="189"/>
      <c r="AE35" s="189"/>
      <c r="AF35" s="189"/>
      <c r="AG35" s="147"/>
      <c r="AH35" s="147"/>
      <c r="AI35" s="147"/>
      <c r="AJ35" s="147"/>
      <c r="AK35" s="147"/>
      <c r="AL35" s="147"/>
      <c r="AM35" s="147"/>
      <c r="AN35" s="147"/>
      <c r="AO35" s="147"/>
    </row>
    <row r="36">
      <c r="A36" s="606" t="s">
        <v>977</v>
      </c>
      <c r="B36" s="194"/>
      <c r="F36" s="199" t="s">
        <v>1078</v>
      </c>
      <c r="O36" s="199">
        <v>8.0</v>
      </c>
      <c r="P36" s="199">
        <v>11.0</v>
      </c>
      <c r="Q36" s="199">
        <v>8.0</v>
      </c>
      <c r="R36" s="199">
        <v>21.0</v>
      </c>
      <c r="S36" s="199">
        <v>21.0</v>
      </c>
      <c r="T36" s="199">
        <v>8.0</v>
      </c>
      <c r="U36" s="414">
        <v>5.0</v>
      </c>
      <c r="V36" s="199">
        <v>15.0</v>
      </c>
    </row>
    <row r="37">
      <c r="A37" s="614" t="s">
        <v>978</v>
      </c>
      <c r="B37" s="194"/>
      <c r="F37" s="199"/>
      <c r="O37" s="199">
        <v>0.0</v>
      </c>
      <c r="P37" s="199">
        <v>11.0</v>
      </c>
      <c r="Q37" s="199">
        <v>8.0</v>
      </c>
      <c r="R37" s="199">
        <v>0.0</v>
      </c>
      <c r="S37" s="199">
        <v>13.0</v>
      </c>
      <c r="T37" s="199">
        <v>8.0</v>
      </c>
      <c r="U37" s="414">
        <v>0.0</v>
      </c>
    </row>
    <row r="38">
      <c r="A38" s="622" t="s">
        <v>979</v>
      </c>
      <c r="B38" s="194"/>
      <c r="F38" s="199"/>
      <c r="O38" s="199">
        <v>0.0</v>
      </c>
      <c r="P38" s="199">
        <v>7.0</v>
      </c>
      <c r="Q38" s="199">
        <v>3.0</v>
      </c>
      <c r="R38" s="199">
        <v>13.0</v>
      </c>
      <c r="S38" s="199">
        <v>18.0</v>
      </c>
      <c r="T38" s="199">
        <v>17.0</v>
      </c>
      <c r="U38" s="414">
        <v>6.0</v>
      </c>
      <c r="V38" s="199">
        <v>5.0</v>
      </c>
    </row>
    <row r="39">
      <c r="A39" s="614" t="s">
        <v>980</v>
      </c>
      <c r="B39" s="194"/>
      <c r="F39" s="199"/>
      <c r="O39" s="199">
        <v>0.0</v>
      </c>
      <c r="P39" s="199">
        <v>2.0</v>
      </c>
      <c r="Q39" s="199">
        <v>3.0</v>
      </c>
      <c r="R39" s="199">
        <v>0.0</v>
      </c>
      <c r="S39" s="199">
        <v>18.0</v>
      </c>
      <c r="T39" s="199">
        <v>0.0</v>
      </c>
      <c r="U39" s="414">
        <v>3.0</v>
      </c>
    </row>
    <row r="40">
      <c r="A40" s="622" t="s">
        <v>981</v>
      </c>
      <c r="B40" s="194"/>
      <c r="F40" s="199"/>
      <c r="O40" s="199">
        <v>18.0</v>
      </c>
      <c r="P40" s="199">
        <v>13.0</v>
      </c>
      <c r="Q40" s="199">
        <v>8.0</v>
      </c>
      <c r="R40" s="199">
        <v>16.0</v>
      </c>
      <c r="S40" s="199">
        <v>13.0</v>
      </c>
      <c r="T40" s="199">
        <v>13.0</v>
      </c>
      <c r="U40" s="414">
        <v>34.0</v>
      </c>
      <c r="V40" s="199">
        <v>0.0</v>
      </c>
    </row>
    <row r="41">
      <c r="A41" s="622" t="s">
        <v>982</v>
      </c>
      <c r="B41" s="194"/>
      <c r="F41" s="199"/>
      <c r="O41" s="199">
        <v>0.0</v>
      </c>
      <c r="P41" s="199">
        <v>0.0</v>
      </c>
      <c r="Q41" s="199">
        <v>8.0</v>
      </c>
      <c r="R41" s="199">
        <v>3.0</v>
      </c>
      <c r="S41" s="199">
        <v>0.0</v>
      </c>
      <c r="T41" s="199">
        <v>13.0</v>
      </c>
      <c r="U41" s="414">
        <v>34.0</v>
      </c>
    </row>
    <row r="42">
      <c r="A42" s="667" t="s">
        <v>1079</v>
      </c>
      <c r="B42" s="194"/>
      <c r="F42" s="199"/>
      <c r="O42" s="199"/>
      <c r="P42" s="199"/>
      <c r="Q42" s="199"/>
      <c r="R42" s="199"/>
      <c r="S42" s="199"/>
      <c r="T42" s="199"/>
      <c r="U42" s="414"/>
      <c r="V42" s="199">
        <v>19.0</v>
      </c>
    </row>
    <row r="43">
      <c r="A43" s="667" t="s">
        <v>1080</v>
      </c>
      <c r="B43" s="194"/>
      <c r="F43" s="199"/>
      <c r="O43" s="199"/>
      <c r="P43" s="199"/>
      <c r="Q43" s="199"/>
      <c r="R43" s="199"/>
      <c r="S43" s="199"/>
      <c r="T43" s="199"/>
      <c r="U43" s="414"/>
    </row>
    <row r="44">
      <c r="A44" s="56" t="s">
        <v>1081</v>
      </c>
      <c r="B44" s="668"/>
      <c r="C44" s="572"/>
      <c r="D44" s="572"/>
      <c r="E44" s="572"/>
      <c r="F44" s="482"/>
      <c r="G44" s="572"/>
      <c r="H44" s="572"/>
      <c r="I44" s="572"/>
      <c r="J44" s="572"/>
      <c r="K44" s="572"/>
      <c r="L44" s="572"/>
      <c r="M44" s="572"/>
      <c r="N44" s="669" t="s">
        <v>1082</v>
      </c>
      <c r="O44" s="669" t="s">
        <v>1082</v>
      </c>
      <c r="P44" s="669" t="s">
        <v>1082</v>
      </c>
      <c r="Q44" s="669" t="s">
        <v>1082</v>
      </c>
      <c r="R44" s="669" t="s">
        <v>1082</v>
      </c>
      <c r="S44" s="669" t="s">
        <v>1082</v>
      </c>
      <c r="T44" s="669" t="s">
        <v>1082</v>
      </c>
      <c r="U44" s="670" t="s">
        <v>1082</v>
      </c>
      <c r="V44" s="572"/>
      <c r="W44" s="572"/>
      <c r="X44" s="572"/>
      <c r="Y44" s="572"/>
      <c r="Z44" s="572"/>
      <c r="AA44" s="572"/>
      <c r="AB44" s="572"/>
      <c r="AC44" s="572"/>
      <c r="AD44" s="572"/>
      <c r="AE44" s="572"/>
      <c r="AF44" s="572"/>
      <c r="AG44" s="572"/>
      <c r="AH44" s="572"/>
      <c r="AI44" s="572"/>
      <c r="AJ44" s="572"/>
      <c r="AK44" s="572"/>
      <c r="AL44" s="572"/>
      <c r="AM44" s="572"/>
      <c r="AN44" s="572"/>
      <c r="AO44" s="572"/>
    </row>
    <row r="45">
      <c r="A45" s="126" t="s">
        <v>45</v>
      </c>
      <c r="B45" s="127" t="s">
        <v>989</v>
      </c>
      <c r="C45" s="128" t="s">
        <v>989</v>
      </c>
      <c r="D45" s="128" t="s">
        <v>989</v>
      </c>
      <c r="E45" s="128" t="s">
        <v>989</v>
      </c>
      <c r="F45" s="128" t="s">
        <v>989</v>
      </c>
      <c r="G45" s="128" t="s">
        <v>989</v>
      </c>
      <c r="H45" s="128" t="s">
        <v>989</v>
      </c>
      <c r="I45" s="128" t="s">
        <v>989</v>
      </c>
      <c r="J45" s="128" t="s">
        <v>989</v>
      </c>
      <c r="K45" s="128" t="s">
        <v>989</v>
      </c>
      <c r="L45" s="128" t="s">
        <v>989</v>
      </c>
      <c r="M45" s="128" t="s">
        <v>989</v>
      </c>
      <c r="N45" s="128" t="s">
        <v>989</v>
      </c>
      <c r="O45" s="128" t="s">
        <v>989</v>
      </c>
      <c r="P45" s="128" t="s">
        <v>989</v>
      </c>
      <c r="Q45" s="128" t="s">
        <v>989</v>
      </c>
      <c r="R45" s="128" t="s">
        <v>989</v>
      </c>
      <c r="S45" s="128" t="s">
        <v>989</v>
      </c>
      <c r="T45" s="128" t="s">
        <v>989</v>
      </c>
      <c r="U45" s="129" t="s">
        <v>989</v>
      </c>
      <c r="V45" s="128" t="s">
        <v>989</v>
      </c>
      <c r="W45" s="128" t="s">
        <v>989</v>
      </c>
      <c r="X45" s="128" t="s">
        <v>989</v>
      </c>
      <c r="Y45" s="128" t="s">
        <v>989</v>
      </c>
      <c r="Z45" s="128" t="s">
        <v>989</v>
      </c>
      <c r="AA45" s="128" t="s">
        <v>989</v>
      </c>
      <c r="AB45" s="128"/>
      <c r="AC45" s="128"/>
      <c r="AD45" s="130"/>
      <c r="AE45" s="130"/>
      <c r="AF45" s="130"/>
      <c r="AG45" s="130"/>
      <c r="AH45" s="130"/>
      <c r="AI45" s="130"/>
      <c r="AJ45" s="130"/>
      <c r="AK45" s="130"/>
      <c r="AL45" s="130"/>
      <c r="AM45" s="130"/>
      <c r="AN45" s="130"/>
      <c r="AO45" s="130"/>
    </row>
    <row r="46" hidden="1">
      <c r="A46" s="196" t="s">
        <v>1083</v>
      </c>
      <c r="B46" s="132">
        <v>34.0</v>
      </c>
      <c r="C46" s="133">
        <v>46.0</v>
      </c>
      <c r="D46" s="133">
        <v>47.0</v>
      </c>
      <c r="E46" s="133">
        <v>39.0</v>
      </c>
      <c r="F46" s="133">
        <v>18.0</v>
      </c>
      <c r="G46" s="133">
        <v>44.0</v>
      </c>
      <c r="H46" s="133">
        <v>42.0</v>
      </c>
      <c r="I46" s="133">
        <v>31.0</v>
      </c>
      <c r="J46" s="133">
        <v>32.0</v>
      </c>
      <c r="K46" s="133">
        <v>46.0</v>
      </c>
      <c r="L46" s="133">
        <v>46.0</v>
      </c>
      <c r="M46" s="133">
        <v>45.0</v>
      </c>
      <c r="N46" s="133">
        <v>42.0</v>
      </c>
      <c r="O46" s="130"/>
      <c r="P46" s="130"/>
      <c r="Q46" s="133"/>
      <c r="R46" s="133"/>
      <c r="S46" s="133"/>
      <c r="T46" s="133"/>
      <c r="U46" s="134"/>
      <c r="V46" s="133"/>
      <c r="W46" s="133"/>
      <c r="X46" s="133"/>
      <c r="Y46" s="133"/>
      <c r="Z46" s="133"/>
      <c r="AA46" s="133"/>
      <c r="AB46" s="133"/>
      <c r="AC46" s="130"/>
      <c r="AD46" s="130"/>
      <c r="AE46" s="130"/>
      <c r="AF46" s="130"/>
      <c r="AG46" s="130"/>
      <c r="AH46" s="130"/>
      <c r="AI46" s="130"/>
      <c r="AJ46" s="130"/>
      <c r="AK46" s="130"/>
      <c r="AL46" s="130"/>
      <c r="AM46" s="130"/>
      <c r="AN46" s="130"/>
      <c r="AO46" s="130"/>
    </row>
    <row r="47">
      <c r="A47" s="198" t="s">
        <v>991</v>
      </c>
      <c r="B47" s="132"/>
      <c r="C47" s="133"/>
      <c r="D47" s="133"/>
      <c r="E47" s="133"/>
      <c r="F47" s="133"/>
      <c r="G47" s="133"/>
      <c r="H47" s="133"/>
      <c r="I47" s="133"/>
      <c r="J47" s="133"/>
      <c r="K47" s="133"/>
      <c r="L47" s="133"/>
      <c r="M47" s="133"/>
      <c r="N47" s="133"/>
      <c r="O47" s="133">
        <v>52.0</v>
      </c>
      <c r="P47" s="133">
        <v>33.0</v>
      </c>
      <c r="Q47" s="133">
        <v>29.0</v>
      </c>
      <c r="R47" s="133">
        <v>32.0</v>
      </c>
      <c r="S47" s="133">
        <v>34.0</v>
      </c>
      <c r="T47" s="133">
        <v>46.0</v>
      </c>
      <c r="U47" s="134">
        <v>42.0</v>
      </c>
      <c r="V47" s="133">
        <v>11.0</v>
      </c>
      <c r="W47" s="133"/>
      <c r="X47" s="133"/>
      <c r="Y47" s="133"/>
      <c r="Z47" s="133"/>
      <c r="AA47" s="133"/>
      <c r="AB47" s="133"/>
      <c r="AC47" s="130"/>
      <c r="AD47" s="130"/>
      <c r="AE47" s="130"/>
      <c r="AF47" s="130"/>
      <c r="AG47" s="130"/>
      <c r="AH47" s="130"/>
      <c r="AI47" s="130"/>
      <c r="AJ47" s="130"/>
      <c r="AK47" s="130"/>
      <c r="AL47" s="130"/>
      <c r="AM47" s="130"/>
      <c r="AN47" s="130"/>
      <c r="AO47" s="130"/>
    </row>
    <row r="48">
      <c r="A48" s="196" t="s">
        <v>1084</v>
      </c>
      <c r="B48" s="132">
        <v>54.0</v>
      </c>
      <c r="C48" s="133">
        <v>52.0</v>
      </c>
      <c r="D48" s="133">
        <v>47.0</v>
      </c>
      <c r="E48" s="133">
        <v>50.0</v>
      </c>
      <c r="F48" s="133">
        <v>59.0</v>
      </c>
      <c r="G48" s="133">
        <v>52.0</v>
      </c>
      <c r="H48" s="133">
        <v>50.0</v>
      </c>
      <c r="I48" s="133">
        <v>29.0</v>
      </c>
      <c r="J48" s="133">
        <v>46.0</v>
      </c>
      <c r="K48" s="133">
        <v>58.0</v>
      </c>
      <c r="L48" s="133">
        <v>47.0</v>
      </c>
      <c r="M48" s="133">
        <v>51.0</v>
      </c>
      <c r="N48" s="133">
        <v>68.0</v>
      </c>
      <c r="O48" s="133">
        <v>53.0</v>
      </c>
      <c r="P48" s="133">
        <v>54.0</v>
      </c>
      <c r="Q48" s="133">
        <v>20.0</v>
      </c>
      <c r="R48" s="133">
        <v>56.0</v>
      </c>
      <c r="S48" s="133">
        <v>55.0</v>
      </c>
      <c r="T48" s="133">
        <v>46.0</v>
      </c>
      <c r="U48" s="134">
        <v>48.0</v>
      </c>
      <c r="V48" s="133">
        <v>51.0</v>
      </c>
      <c r="W48" s="133"/>
      <c r="X48" s="133"/>
      <c r="Y48" s="133"/>
      <c r="Z48" s="133"/>
      <c r="AA48" s="133"/>
      <c r="AB48" s="133"/>
      <c r="AC48" s="130"/>
      <c r="AD48" s="130"/>
      <c r="AE48" s="130"/>
      <c r="AF48" s="130"/>
      <c r="AG48" s="130"/>
      <c r="AH48" s="130"/>
      <c r="AI48" s="130"/>
      <c r="AJ48" s="130"/>
      <c r="AK48" s="130"/>
      <c r="AL48" s="130"/>
      <c r="AM48" s="130"/>
      <c r="AN48" s="130"/>
      <c r="AO48" s="130"/>
    </row>
    <row r="49">
      <c r="A49" s="196" t="s">
        <v>994</v>
      </c>
      <c r="B49" s="132">
        <v>0.0</v>
      </c>
      <c r="C49" s="133">
        <v>0.0</v>
      </c>
      <c r="D49" s="133">
        <v>0.0</v>
      </c>
      <c r="E49" s="133">
        <v>0.0</v>
      </c>
      <c r="F49" s="133">
        <v>0.0</v>
      </c>
      <c r="G49" s="133">
        <v>0.0</v>
      </c>
      <c r="H49" s="133">
        <v>0.0</v>
      </c>
      <c r="I49" s="133">
        <v>0.0</v>
      </c>
      <c r="J49" s="133">
        <v>0.0</v>
      </c>
      <c r="K49" s="133">
        <v>0.0</v>
      </c>
      <c r="L49" s="133">
        <v>0.0</v>
      </c>
      <c r="M49" s="199">
        <v>0.0</v>
      </c>
      <c r="N49" s="133">
        <v>0.0</v>
      </c>
      <c r="O49" s="133">
        <v>0.0</v>
      </c>
      <c r="P49" s="133">
        <v>0.0</v>
      </c>
      <c r="Q49" s="133">
        <v>0.0</v>
      </c>
      <c r="R49" s="133">
        <v>0.0</v>
      </c>
      <c r="S49" s="133">
        <v>0.0</v>
      </c>
      <c r="T49" s="133">
        <v>0.0</v>
      </c>
      <c r="U49" s="134">
        <v>0.0</v>
      </c>
      <c r="V49" s="133">
        <v>0.0</v>
      </c>
      <c r="W49" s="133"/>
      <c r="X49" s="133"/>
      <c r="Y49" s="133"/>
      <c r="Z49" s="133"/>
      <c r="AA49" s="133"/>
      <c r="AB49" s="133"/>
      <c r="AC49" s="130"/>
      <c r="AD49" s="130"/>
      <c r="AE49" s="130"/>
      <c r="AF49" s="130"/>
      <c r="AG49" s="130"/>
      <c r="AH49" s="130"/>
      <c r="AI49" s="130"/>
      <c r="AJ49" s="130"/>
      <c r="AK49" s="130"/>
      <c r="AL49" s="130"/>
      <c r="AM49" s="130"/>
      <c r="AN49" s="130"/>
      <c r="AO49" s="130"/>
    </row>
    <row r="50">
      <c r="A50" s="198" t="s">
        <v>1085</v>
      </c>
      <c r="B50" s="132">
        <v>45.0</v>
      </c>
      <c r="C50" s="133">
        <v>50.0</v>
      </c>
      <c r="D50" s="133">
        <v>53.0</v>
      </c>
      <c r="E50" s="133">
        <v>52.0</v>
      </c>
      <c r="F50" s="133">
        <v>58.0</v>
      </c>
      <c r="G50" s="133">
        <v>53.0</v>
      </c>
      <c r="H50" s="133">
        <v>50.0</v>
      </c>
      <c r="I50" s="133">
        <v>19.0</v>
      </c>
      <c r="J50" s="133">
        <v>37.0</v>
      </c>
      <c r="K50" s="133">
        <v>51.0</v>
      </c>
      <c r="L50" s="133">
        <v>55.0</v>
      </c>
      <c r="M50" s="133">
        <v>47.0</v>
      </c>
      <c r="N50" s="133">
        <v>47.0</v>
      </c>
      <c r="O50" s="133">
        <v>50.0</v>
      </c>
      <c r="P50" s="133">
        <v>50.0</v>
      </c>
      <c r="Q50" s="133">
        <v>20.0</v>
      </c>
      <c r="R50" s="133">
        <v>53.0</v>
      </c>
      <c r="S50" s="133">
        <v>46.0</v>
      </c>
      <c r="T50" s="133">
        <v>52.0</v>
      </c>
      <c r="U50" s="134">
        <v>50.0</v>
      </c>
      <c r="V50" s="133">
        <v>50.0</v>
      </c>
      <c r="W50" s="133"/>
      <c r="X50" s="133"/>
      <c r="Y50" s="133"/>
      <c r="Z50" s="133"/>
      <c r="AA50" s="133"/>
      <c r="AB50" s="133"/>
      <c r="AC50" s="130"/>
      <c r="AD50" s="130"/>
      <c r="AE50" s="130"/>
      <c r="AF50" s="130"/>
      <c r="AG50" s="130"/>
      <c r="AH50" s="130"/>
      <c r="AI50" s="130"/>
      <c r="AJ50" s="130"/>
      <c r="AK50" s="130"/>
      <c r="AL50" s="130"/>
      <c r="AM50" s="130"/>
      <c r="AN50" s="130"/>
      <c r="AO50" s="130"/>
    </row>
    <row r="51">
      <c r="A51" s="196" t="s">
        <v>1086</v>
      </c>
      <c r="B51" s="132">
        <v>40.0</v>
      </c>
      <c r="C51" s="133">
        <v>39.0</v>
      </c>
      <c r="D51" s="133">
        <v>42.0</v>
      </c>
      <c r="E51" s="133">
        <v>38.0</v>
      </c>
      <c r="F51" s="133">
        <v>46.0</v>
      </c>
      <c r="G51" s="133">
        <v>40.0</v>
      </c>
      <c r="H51" s="133">
        <v>41.0</v>
      </c>
      <c r="I51" s="133">
        <v>18.0</v>
      </c>
      <c r="J51" s="133">
        <v>34.0</v>
      </c>
      <c r="K51" s="133">
        <v>43.0</v>
      </c>
      <c r="L51" s="133">
        <v>43.0</v>
      </c>
      <c r="M51" s="133">
        <v>24.0</v>
      </c>
      <c r="N51" s="133">
        <v>44.0</v>
      </c>
      <c r="O51" s="133">
        <v>41.0</v>
      </c>
      <c r="P51" s="133">
        <v>39.0</v>
      </c>
      <c r="Q51" s="133">
        <v>33.0</v>
      </c>
      <c r="R51" s="133">
        <v>43.0</v>
      </c>
      <c r="S51" s="133">
        <v>42.0</v>
      </c>
      <c r="T51" s="288">
        <v>42.0</v>
      </c>
      <c r="U51" s="133">
        <v>38.0</v>
      </c>
      <c r="V51" s="133">
        <v>33.0</v>
      </c>
      <c r="W51" s="133"/>
      <c r="X51" s="133"/>
      <c r="Y51" s="133"/>
      <c r="Z51" s="133"/>
      <c r="AA51" s="133"/>
      <c r="AB51" s="133"/>
      <c r="AC51" s="130"/>
      <c r="AD51" s="130"/>
      <c r="AE51" s="130"/>
      <c r="AF51" s="130"/>
      <c r="AG51" s="130"/>
      <c r="AH51" s="130"/>
      <c r="AI51" s="130"/>
      <c r="AJ51" s="130"/>
      <c r="AK51" s="130"/>
      <c r="AL51" s="130"/>
      <c r="AM51" s="130"/>
      <c r="AN51" s="130"/>
      <c r="AO51" s="130"/>
    </row>
    <row r="52">
      <c r="A52" s="198" t="s">
        <v>1087</v>
      </c>
      <c r="B52" s="132"/>
      <c r="C52" s="133"/>
      <c r="D52" s="133"/>
      <c r="E52" s="133"/>
      <c r="F52" s="133"/>
      <c r="G52" s="133"/>
      <c r="H52" s="133"/>
      <c r="I52" s="133"/>
      <c r="J52" s="133"/>
      <c r="K52" s="133"/>
      <c r="L52" s="133"/>
      <c r="M52" s="133"/>
      <c r="N52" s="133"/>
      <c r="O52" s="133"/>
      <c r="P52" s="133">
        <v>3.0</v>
      </c>
      <c r="Q52" s="133">
        <v>12.0</v>
      </c>
      <c r="R52" s="133">
        <v>15.0</v>
      </c>
      <c r="S52" s="133">
        <v>17.0</v>
      </c>
      <c r="T52" s="288">
        <v>17.0</v>
      </c>
      <c r="U52" s="133">
        <v>17.0</v>
      </c>
      <c r="V52" s="133">
        <v>20.0</v>
      </c>
      <c r="W52" s="133"/>
      <c r="X52" s="133"/>
      <c r="Y52" s="133"/>
      <c r="Z52" s="133"/>
      <c r="AA52" s="133"/>
      <c r="AB52" s="133"/>
      <c r="AC52" s="130"/>
      <c r="AD52" s="130"/>
      <c r="AE52" s="130"/>
      <c r="AF52" s="130"/>
      <c r="AG52" s="130"/>
      <c r="AH52" s="130"/>
      <c r="AI52" s="130"/>
      <c r="AJ52" s="130"/>
      <c r="AK52" s="130"/>
      <c r="AL52" s="130"/>
      <c r="AM52" s="130"/>
      <c r="AN52" s="130"/>
      <c r="AO52" s="130"/>
    </row>
    <row r="53">
      <c r="A53" s="484" t="s">
        <v>1088</v>
      </c>
      <c r="B53" s="136"/>
      <c r="C53" s="130"/>
      <c r="D53" s="130"/>
      <c r="E53" s="130"/>
      <c r="F53" s="130"/>
      <c r="G53" s="130"/>
      <c r="H53" s="130"/>
      <c r="I53" s="130"/>
      <c r="J53" s="133">
        <v>8.0</v>
      </c>
      <c r="K53" s="133">
        <v>3.0</v>
      </c>
      <c r="L53" s="133">
        <v>8.0</v>
      </c>
      <c r="M53" s="133">
        <v>10.0</v>
      </c>
      <c r="N53" s="133">
        <v>15.0</v>
      </c>
      <c r="O53" s="133">
        <v>11.0</v>
      </c>
      <c r="P53" s="133">
        <v>0.0</v>
      </c>
      <c r="Q53" s="133">
        <v>13.0</v>
      </c>
      <c r="R53" s="133">
        <v>5.0</v>
      </c>
      <c r="S53" s="133">
        <v>16.0</v>
      </c>
      <c r="T53" s="133">
        <v>20.0</v>
      </c>
      <c r="U53" s="134">
        <v>19.0</v>
      </c>
      <c r="V53" s="133">
        <v>16.0</v>
      </c>
      <c r="W53" s="133"/>
      <c r="X53" s="133"/>
      <c r="Y53" s="133"/>
      <c r="Z53" s="133"/>
      <c r="AA53" s="133"/>
      <c r="AB53" s="133"/>
      <c r="AC53" s="130"/>
      <c r="AD53" s="130"/>
      <c r="AE53" s="130"/>
      <c r="AF53" s="130"/>
      <c r="AG53" s="130"/>
      <c r="AH53" s="130"/>
      <c r="AI53" s="130"/>
      <c r="AJ53" s="130"/>
      <c r="AK53" s="130"/>
      <c r="AL53" s="130"/>
      <c r="AM53" s="130"/>
      <c r="AN53" s="130"/>
      <c r="AO53" s="130"/>
    </row>
    <row r="54" hidden="1">
      <c r="A54" s="484" t="s">
        <v>1089</v>
      </c>
      <c r="B54" s="136"/>
      <c r="C54" s="130"/>
      <c r="D54" s="130"/>
      <c r="E54" s="130"/>
      <c r="F54" s="130"/>
      <c r="G54" s="130"/>
      <c r="H54" s="130"/>
      <c r="I54" s="130"/>
      <c r="J54" s="133">
        <v>6.0</v>
      </c>
      <c r="K54" s="133">
        <v>6.0</v>
      </c>
      <c r="L54" s="133">
        <v>8.0</v>
      </c>
      <c r="M54" s="133">
        <v>3.0</v>
      </c>
      <c r="N54" s="130"/>
      <c r="O54" s="130"/>
      <c r="P54" s="130"/>
      <c r="Q54" s="133"/>
      <c r="R54" s="133"/>
      <c r="S54" s="133"/>
      <c r="T54" s="133"/>
      <c r="U54" s="134"/>
      <c r="V54" s="133"/>
      <c r="W54" s="133"/>
      <c r="X54" s="133"/>
      <c r="Y54" s="133"/>
      <c r="Z54" s="133"/>
      <c r="AA54" s="133"/>
      <c r="AB54" s="133"/>
      <c r="AC54" s="130"/>
      <c r="AD54" s="130"/>
      <c r="AE54" s="130"/>
      <c r="AF54" s="130"/>
      <c r="AG54" s="130"/>
      <c r="AH54" s="130"/>
      <c r="AI54" s="130"/>
      <c r="AJ54" s="130"/>
      <c r="AK54" s="130"/>
      <c r="AL54" s="130"/>
      <c r="AM54" s="130"/>
      <c r="AN54" s="130"/>
      <c r="AO54" s="130"/>
    </row>
    <row r="55" hidden="1">
      <c r="A55" s="484" t="s">
        <v>1090</v>
      </c>
      <c r="B55" s="132"/>
      <c r="C55" s="130"/>
      <c r="D55" s="130"/>
      <c r="E55" s="130"/>
      <c r="F55" s="130"/>
      <c r="G55" s="130"/>
      <c r="H55" s="130"/>
      <c r="I55" s="130"/>
      <c r="J55" s="133">
        <v>4.0</v>
      </c>
      <c r="K55" s="133">
        <v>7.0</v>
      </c>
      <c r="L55" s="133">
        <v>8.0</v>
      </c>
      <c r="M55" s="133">
        <v>3.0</v>
      </c>
      <c r="N55" s="133">
        <v>5.0</v>
      </c>
      <c r="O55" s="130"/>
      <c r="P55" s="130"/>
      <c r="Q55" s="133"/>
      <c r="R55" s="133"/>
      <c r="S55" s="133"/>
      <c r="T55" s="133"/>
      <c r="U55" s="134"/>
      <c r="V55" s="133"/>
      <c r="W55" s="133"/>
      <c r="X55" s="133"/>
      <c r="Y55" s="133"/>
      <c r="Z55" s="133"/>
      <c r="AA55" s="133"/>
      <c r="AB55" s="133"/>
      <c r="AC55" s="130"/>
      <c r="AD55" s="130"/>
      <c r="AE55" s="130"/>
      <c r="AF55" s="130"/>
      <c r="AG55" s="130"/>
      <c r="AH55" s="130"/>
      <c r="AI55" s="130"/>
      <c r="AJ55" s="130"/>
      <c r="AK55" s="130"/>
      <c r="AL55" s="130"/>
      <c r="AM55" s="130"/>
      <c r="AN55" s="130"/>
      <c r="AO55" s="130"/>
    </row>
    <row r="56" hidden="1">
      <c r="A56" s="484" t="s">
        <v>1091</v>
      </c>
      <c r="B56" s="132"/>
      <c r="C56" s="130"/>
      <c r="D56" s="130"/>
      <c r="E56" s="130"/>
      <c r="F56" s="130"/>
      <c r="G56" s="130"/>
      <c r="H56" s="130"/>
      <c r="I56" s="130"/>
      <c r="J56" s="133"/>
      <c r="K56" s="133"/>
      <c r="L56" s="133"/>
      <c r="M56" s="130"/>
      <c r="N56" s="133">
        <v>0.0</v>
      </c>
      <c r="O56" s="133">
        <v>0.0</v>
      </c>
      <c r="P56" s="130"/>
      <c r="Q56" s="133"/>
      <c r="R56" s="133"/>
      <c r="S56" s="133"/>
      <c r="T56" s="133"/>
      <c r="U56" s="134"/>
      <c r="V56" s="133"/>
      <c r="W56" s="133"/>
      <c r="X56" s="133"/>
      <c r="Y56" s="133"/>
      <c r="Z56" s="133"/>
      <c r="AA56" s="133"/>
      <c r="AB56" s="133"/>
      <c r="AC56" s="130"/>
      <c r="AD56" s="130"/>
      <c r="AE56" s="130"/>
      <c r="AF56" s="130"/>
      <c r="AG56" s="130"/>
      <c r="AH56" s="130"/>
      <c r="AI56" s="130"/>
      <c r="AJ56" s="130"/>
      <c r="AK56" s="130"/>
      <c r="AL56" s="130"/>
      <c r="AM56" s="130"/>
      <c r="AN56" s="130"/>
      <c r="AO56" s="130"/>
    </row>
    <row r="57">
      <c r="A57" s="484" t="s">
        <v>1092</v>
      </c>
      <c r="B57" s="132"/>
      <c r="C57" s="130"/>
      <c r="D57" s="130"/>
      <c r="E57" s="130"/>
      <c r="F57" s="130"/>
      <c r="G57" s="130"/>
      <c r="H57" s="130"/>
      <c r="I57" s="130"/>
      <c r="J57" s="133"/>
      <c r="K57" s="133"/>
      <c r="L57" s="133"/>
      <c r="M57" s="130"/>
      <c r="N57" s="133"/>
      <c r="O57" s="133">
        <v>0.0</v>
      </c>
      <c r="P57" s="133">
        <v>13.0</v>
      </c>
      <c r="Q57" s="133">
        <v>10.0</v>
      </c>
      <c r="R57" s="133">
        <v>10.0</v>
      </c>
      <c r="S57" s="133">
        <v>12.0</v>
      </c>
      <c r="T57" s="133">
        <v>9.0</v>
      </c>
      <c r="U57" s="134">
        <v>13.0</v>
      </c>
      <c r="V57" s="133">
        <v>15.0</v>
      </c>
      <c r="W57" s="133"/>
      <c r="X57" s="133"/>
      <c r="Y57" s="133"/>
      <c r="Z57" s="133"/>
      <c r="AA57" s="133"/>
      <c r="AB57" s="133"/>
      <c r="AC57" s="130"/>
      <c r="AD57" s="130"/>
      <c r="AE57" s="130"/>
      <c r="AF57" s="130"/>
      <c r="AG57" s="130"/>
      <c r="AH57" s="130"/>
      <c r="AI57" s="130"/>
      <c r="AJ57" s="130"/>
      <c r="AK57" s="130"/>
      <c r="AL57" s="130"/>
      <c r="AM57" s="130"/>
      <c r="AN57" s="130"/>
      <c r="AO57" s="130"/>
    </row>
    <row r="58">
      <c r="A58" s="484" t="s">
        <v>1093</v>
      </c>
      <c r="B58" s="132"/>
      <c r="C58" s="130"/>
      <c r="D58" s="130"/>
      <c r="E58" s="130"/>
      <c r="F58" s="130"/>
      <c r="G58" s="130"/>
      <c r="H58" s="130"/>
      <c r="I58" s="130"/>
      <c r="J58" s="133"/>
      <c r="K58" s="133"/>
      <c r="L58" s="133"/>
      <c r="M58" s="130"/>
      <c r="N58" s="133"/>
      <c r="O58" s="133"/>
      <c r="P58" s="133"/>
      <c r="Q58" s="133"/>
      <c r="R58" s="133"/>
      <c r="S58" s="133"/>
      <c r="T58" s="133"/>
      <c r="U58" s="134">
        <v>20.0</v>
      </c>
      <c r="V58" s="133">
        <v>19.0</v>
      </c>
      <c r="W58" s="133"/>
      <c r="X58" s="133"/>
      <c r="Y58" s="133"/>
      <c r="Z58" s="133"/>
      <c r="AA58" s="133"/>
      <c r="AB58" s="133"/>
      <c r="AC58" s="130"/>
      <c r="AD58" s="130"/>
      <c r="AE58" s="130"/>
      <c r="AF58" s="130"/>
      <c r="AG58" s="130"/>
      <c r="AH58" s="130"/>
      <c r="AI58" s="130"/>
      <c r="AJ58" s="130"/>
      <c r="AK58" s="130"/>
      <c r="AL58" s="130"/>
      <c r="AM58" s="130"/>
      <c r="AN58" s="130"/>
      <c r="AO58" s="130"/>
    </row>
    <row r="59">
      <c r="A59" s="126" t="s">
        <v>46</v>
      </c>
      <c r="B59" s="127"/>
      <c r="C59" s="128"/>
      <c r="D59" s="128"/>
      <c r="E59" s="128"/>
      <c r="F59" s="128"/>
      <c r="G59" s="128"/>
      <c r="H59" s="128"/>
      <c r="I59" s="128"/>
      <c r="J59" s="128"/>
      <c r="K59" s="128"/>
      <c r="L59" s="128"/>
      <c r="M59" s="128"/>
      <c r="N59" s="128"/>
      <c r="O59" s="128"/>
      <c r="P59" s="128"/>
      <c r="Q59" s="128"/>
      <c r="R59" s="128"/>
      <c r="S59" s="128"/>
      <c r="T59" s="128"/>
      <c r="U59" s="129"/>
      <c r="V59" s="128"/>
      <c r="W59" s="128"/>
      <c r="X59" s="128"/>
      <c r="Y59" s="128"/>
      <c r="Z59" s="128"/>
      <c r="AA59" s="128"/>
      <c r="AB59" s="128"/>
      <c r="AC59" s="128"/>
      <c r="AD59" s="130"/>
      <c r="AE59" s="130"/>
      <c r="AF59" s="130"/>
      <c r="AG59" s="130"/>
      <c r="AH59" s="130"/>
      <c r="AI59" s="130"/>
      <c r="AJ59" s="130"/>
      <c r="AK59" s="130"/>
      <c r="AL59" s="130"/>
      <c r="AM59" s="130"/>
      <c r="AN59" s="130"/>
      <c r="AO59" s="130"/>
    </row>
    <row r="60" hidden="1">
      <c r="A60" s="196" t="s">
        <v>1083</v>
      </c>
      <c r="B60" s="132">
        <v>21.0</v>
      </c>
      <c r="C60" s="133">
        <v>35.0</v>
      </c>
      <c r="D60" s="133">
        <v>29.0</v>
      </c>
      <c r="E60" s="133">
        <v>39.0</v>
      </c>
      <c r="F60" s="133">
        <v>13.0</v>
      </c>
      <c r="G60" s="133">
        <v>42.0</v>
      </c>
      <c r="H60" s="133">
        <v>52.0</v>
      </c>
      <c r="I60" s="133">
        <v>23.0</v>
      </c>
      <c r="J60" s="133">
        <v>35.0</v>
      </c>
      <c r="K60" s="133">
        <v>35.0</v>
      </c>
      <c r="L60" s="133">
        <v>30.0</v>
      </c>
      <c r="M60" s="133">
        <v>39.0</v>
      </c>
      <c r="N60" s="133">
        <v>27.0</v>
      </c>
      <c r="O60" s="133"/>
      <c r="P60" s="133"/>
      <c r="Q60" s="133"/>
      <c r="R60" s="133"/>
      <c r="S60" s="133"/>
      <c r="T60" s="133"/>
      <c r="U60" s="134"/>
      <c r="V60" s="133"/>
      <c r="W60" s="133"/>
      <c r="X60" s="133"/>
      <c r="Y60" s="133"/>
      <c r="Z60" s="133"/>
      <c r="AA60" s="133"/>
      <c r="AB60" s="130"/>
      <c r="AC60" s="130"/>
      <c r="AD60" s="130"/>
      <c r="AE60" s="130"/>
      <c r="AF60" s="130"/>
      <c r="AG60" s="130"/>
      <c r="AH60" s="130"/>
      <c r="AI60" s="130"/>
      <c r="AJ60" s="130"/>
      <c r="AK60" s="130"/>
      <c r="AL60" s="130"/>
      <c r="AM60" s="130"/>
      <c r="AN60" s="130"/>
      <c r="AO60" s="130"/>
    </row>
    <row r="61">
      <c r="A61" s="198" t="s">
        <v>991</v>
      </c>
      <c r="B61" s="132"/>
      <c r="C61" s="133"/>
      <c r="D61" s="133"/>
      <c r="E61" s="133"/>
      <c r="F61" s="133"/>
      <c r="G61" s="133"/>
      <c r="H61" s="133"/>
      <c r="I61" s="133"/>
      <c r="J61" s="133"/>
      <c r="K61" s="199"/>
      <c r="L61" s="199"/>
      <c r="M61" s="133"/>
      <c r="N61" s="133"/>
      <c r="O61" s="133">
        <v>47.0</v>
      </c>
      <c r="P61" s="133">
        <v>31.0</v>
      </c>
      <c r="Q61" s="133">
        <v>32.0</v>
      </c>
      <c r="R61" s="133">
        <v>27.0</v>
      </c>
      <c r="S61" s="133">
        <v>39.0</v>
      </c>
      <c r="T61" s="133">
        <v>40.0</v>
      </c>
      <c r="U61" s="134">
        <v>45.0</v>
      </c>
      <c r="V61" s="130"/>
      <c r="W61" s="130"/>
      <c r="X61" s="130"/>
      <c r="Y61" s="130"/>
      <c r="Z61" s="130"/>
      <c r="AA61" s="130"/>
      <c r="AB61" s="130"/>
      <c r="AC61" s="130"/>
      <c r="AD61" s="130"/>
      <c r="AE61" s="130"/>
      <c r="AF61" s="130"/>
      <c r="AG61" s="130"/>
      <c r="AH61" s="130"/>
      <c r="AI61" s="130"/>
      <c r="AJ61" s="130"/>
      <c r="AK61" s="130"/>
      <c r="AL61" s="130"/>
      <c r="AM61" s="130"/>
      <c r="AN61" s="130"/>
      <c r="AO61" s="130"/>
    </row>
    <row r="62">
      <c r="A62" s="196" t="s">
        <v>1084</v>
      </c>
      <c r="B62" s="132">
        <v>50.0</v>
      </c>
      <c r="C62" s="133">
        <v>50.0</v>
      </c>
      <c r="D62" s="133">
        <v>51.0</v>
      </c>
      <c r="E62" s="133">
        <v>50.0</v>
      </c>
      <c r="F62" s="133">
        <f>37+21</f>
        <v>58</v>
      </c>
      <c r="G62" s="133">
        <v>54.0</v>
      </c>
      <c r="H62" s="133">
        <v>50.0</v>
      </c>
      <c r="I62" s="133">
        <v>29.0</v>
      </c>
      <c r="J62" s="133">
        <v>47.0</v>
      </c>
      <c r="K62" s="199">
        <v>58.0</v>
      </c>
      <c r="L62" s="199">
        <f>39+9</f>
        <v>48</v>
      </c>
      <c r="M62" s="133">
        <v>34.0</v>
      </c>
      <c r="N62" s="133">
        <v>35.0</v>
      </c>
      <c r="O62" s="133">
        <v>27.0</v>
      </c>
      <c r="P62" s="133">
        <v>56.0</v>
      </c>
      <c r="Q62" s="133">
        <v>20.0</v>
      </c>
      <c r="R62" s="133">
        <v>4.0</v>
      </c>
      <c r="S62" s="133">
        <v>50.0</v>
      </c>
      <c r="T62" s="133">
        <v>41.0</v>
      </c>
      <c r="U62" s="134">
        <v>55.0</v>
      </c>
      <c r="V62" s="130"/>
      <c r="W62" s="130"/>
      <c r="X62" s="130"/>
      <c r="Y62" s="130"/>
      <c r="Z62" s="130"/>
      <c r="AA62" s="130"/>
      <c r="AB62" s="130"/>
      <c r="AC62" s="130"/>
      <c r="AD62" s="130"/>
      <c r="AE62" s="130"/>
      <c r="AF62" s="130"/>
      <c r="AG62" s="130"/>
      <c r="AH62" s="130"/>
      <c r="AI62" s="130"/>
      <c r="AJ62" s="130"/>
      <c r="AK62" s="130"/>
      <c r="AL62" s="130"/>
      <c r="AM62" s="130"/>
      <c r="AN62" s="130"/>
      <c r="AO62" s="130"/>
    </row>
    <row r="63">
      <c r="A63" s="196" t="s">
        <v>994</v>
      </c>
      <c r="B63" s="137">
        <v>0.0</v>
      </c>
      <c r="C63" s="133">
        <v>0.0</v>
      </c>
      <c r="D63" s="133">
        <v>0.0</v>
      </c>
      <c r="E63" s="133">
        <v>0.0</v>
      </c>
      <c r="F63" s="133">
        <v>3.0</v>
      </c>
      <c r="G63" s="133">
        <v>0.0</v>
      </c>
      <c r="H63" s="133">
        <v>0.0</v>
      </c>
      <c r="I63" s="133">
        <v>0.0</v>
      </c>
      <c r="J63" s="133">
        <v>0.0</v>
      </c>
      <c r="K63" s="199">
        <v>0.0</v>
      </c>
      <c r="L63" s="199">
        <v>0.0</v>
      </c>
      <c r="M63" s="133">
        <v>0.0</v>
      </c>
      <c r="N63" s="133">
        <v>0.0</v>
      </c>
      <c r="O63" s="133">
        <v>0.0</v>
      </c>
      <c r="P63" s="133">
        <v>0.0</v>
      </c>
      <c r="Q63" s="133">
        <v>1.0</v>
      </c>
      <c r="R63" s="133">
        <v>0.0</v>
      </c>
      <c r="S63" s="133">
        <v>0.0</v>
      </c>
      <c r="T63" s="133">
        <v>0.0</v>
      </c>
      <c r="U63" s="134">
        <v>0.0</v>
      </c>
      <c r="V63" s="130"/>
      <c r="W63" s="130"/>
      <c r="X63" s="130"/>
      <c r="Y63" s="130"/>
      <c r="Z63" s="130"/>
      <c r="AA63" s="130"/>
      <c r="AB63" s="130"/>
      <c r="AC63" s="130"/>
      <c r="AD63" s="130"/>
      <c r="AE63" s="130"/>
      <c r="AF63" s="130"/>
      <c r="AG63" s="130"/>
      <c r="AH63" s="130"/>
      <c r="AI63" s="130"/>
      <c r="AJ63" s="130"/>
      <c r="AK63" s="130"/>
      <c r="AL63" s="130"/>
      <c r="AM63" s="130"/>
      <c r="AN63" s="130"/>
      <c r="AO63" s="130"/>
    </row>
    <row r="64">
      <c r="A64" s="198" t="s">
        <v>1085</v>
      </c>
      <c r="B64" s="137">
        <v>29.0</v>
      </c>
      <c r="C64" s="133">
        <v>66.0</v>
      </c>
      <c r="D64" s="133">
        <v>53.0</v>
      </c>
      <c r="E64" s="133">
        <v>32.0</v>
      </c>
      <c r="F64" s="133">
        <v>64.0</v>
      </c>
      <c r="G64" s="133">
        <v>53.0</v>
      </c>
      <c r="H64" s="133">
        <v>47.0</v>
      </c>
      <c r="I64" s="133">
        <v>19.0</v>
      </c>
      <c r="J64" s="133">
        <v>32.0</v>
      </c>
      <c r="K64" s="133">
        <v>17.0</v>
      </c>
      <c r="L64" s="199">
        <v>26.0</v>
      </c>
      <c r="M64" s="133">
        <v>34.0</v>
      </c>
      <c r="N64" s="133">
        <v>46.0</v>
      </c>
      <c r="O64" s="133">
        <v>50.0</v>
      </c>
      <c r="P64" s="133">
        <v>53.0</v>
      </c>
      <c r="Q64" s="133">
        <v>5.0</v>
      </c>
      <c r="R64" s="133">
        <v>37.0</v>
      </c>
      <c r="S64" s="133">
        <v>33.0</v>
      </c>
      <c r="T64" s="133">
        <v>46.0</v>
      </c>
      <c r="U64" s="134">
        <v>50.0</v>
      </c>
      <c r="V64" s="133"/>
      <c r="W64" s="133"/>
      <c r="X64" s="133"/>
      <c r="Y64" s="133"/>
      <c r="Z64" s="133"/>
      <c r="AA64" s="133"/>
      <c r="AB64" s="130"/>
      <c r="AC64" s="130"/>
      <c r="AD64" s="130"/>
      <c r="AE64" s="130"/>
      <c r="AF64" s="130"/>
      <c r="AG64" s="130"/>
      <c r="AH64" s="130"/>
      <c r="AI64" s="130"/>
      <c r="AJ64" s="130"/>
      <c r="AK64" s="130"/>
      <c r="AL64" s="130"/>
      <c r="AM64" s="130"/>
      <c r="AN64" s="130"/>
      <c r="AO64" s="130"/>
    </row>
    <row r="65">
      <c r="A65" s="196" t="s">
        <v>1086</v>
      </c>
      <c r="B65" s="137">
        <v>8.0</v>
      </c>
      <c r="C65" s="133">
        <v>39.0</v>
      </c>
      <c r="D65" s="133">
        <v>29.0</v>
      </c>
      <c r="E65" s="133">
        <v>24.0</v>
      </c>
      <c r="F65" s="133">
        <v>36.0</v>
      </c>
      <c r="G65" s="133">
        <v>35.0</v>
      </c>
      <c r="H65" s="133">
        <v>23.0</v>
      </c>
      <c r="I65" s="133">
        <v>23.0</v>
      </c>
      <c r="J65" s="133">
        <v>31.0</v>
      </c>
      <c r="K65" s="133">
        <v>42.0</v>
      </c>
      <c r="L65" s="133">
        <v>15.0</v>
      </c>
      <c r="M65" s="133">
        <v>28.0</v>
      </c>
      <c r="N65" s="133">
        <v>34.0</v>
      </c>
      <c r="O65" s="133">
        <v>42.0</v>
      </c>
      <c r="P65" s="133">
        <v>42.0</v>
      </c>
      <c r="Q65" s="133">
        <v>28.0</v>
      </c>
      <c r="R65" s="133">
        <v>23.0</v>
      </c>
      <c r="S65" s="133">
        <v>34.0</v>
      </c>
      <c r="T65" s="133">
        <v>30.0</v>
      </c>
      <c r="U65" s="134">
        <v>15.0</v>
      </c>
      <c r="V65" s="133"/>
      <c r="W65" s="133"/>
      <c r="X65" s="133"/>
      <c r="Y65" s="133"/>
      <c r="Z65" s="133"/>
      <c r="AA65" s="133"/>
      <c r="AB65" s="130"/>
      <c r="AC65" s="130"/>
      <c r="AD65" s="130"/>
      <c r="AE65" s="130"/>
      <c r="AF65" s="130"/>
      <c r="AG65" s="130"/>
      <c r="AH65" s="130"/>
      <c r="AI65" s="130"/>
      <c r="AJ65" s="130"/>
      <c r="AK65" s="130"/>
      <c r="AL65" s="130"/>
      <c r="AM65" s="130"/>
      <c r="AN65" s="130"/>
      <c r="AO65" s="130"/>
    </row>
    <row r="66">
      <c r="A66" s="198" t="s">
        <v>1087</v>
      </c>
      <c r="B66" s="137"/>
      <c r="C66" s="133"/>
      <c r="D66" s="133"/>
      <c r="E66" s="133"/>
      <c r="F66" s="133"/>
      <c r="G66" s="133"/>
      <c r="H66" s="133"/>
      <c r="I66" s="133"/>
      <c r="J66" s="133"/>
      <c r="K66" s="133"/>
      <c r="L66" s="133"/>
      <c r="M66" s="133"/>
      <c r="N66" s="133"/>
      <c r="O66" s="133"/>
      <c r="P66" s="133">
        <v>6.0</v>
      </c>
      <c r="Q66" s="133">
        <v>12.0</v>
      </c>
      <c r="R66" s="133">
        <v>15.0</v>
      </c>
      <c r="S66" s="133">
        <v>17.0</v>
      </c>
      <c r="T66" s="133">
        <v>20.0</v>
      </c>
      <c r="U66" s="134">
        <v>20.0</v>
      </c>
      <c r="V66" s="133"/>
      <c r="W66" s="133"/>
      <c r="X66" s="133"/>
      <c r="Y66" s="133"/>
      <c r="Z66" s="133"/>
      <c r="AA66" s="133"/>
      <c r="AB66" s="130"/>
      <c r="AC66" s="130"/>
      <c r="AD66" s="130"/>
      <c r="AE66" s="130"/>
      <c r="AF66" s="130"/>
      <c r="AG66" s="130"/>
      <c r="AH66" s="130"/>
      <c r="AI66" s="130"/>
      <c r="AJ66" s="130"/>
      <c r="AK66" s="130"/>
      <c r="AL66" s="130"/>
      <c r="AM66" s="130"/>
      <c r="AN66" s="130"/>
      <c r="AO66" s="130"/>
    </row>
    <row r="67">
      <c r="A67" s="484" t="s">
        <v>1088</v>
      </c>
      <c r="B67" s="137"/>
      <c r="C67" s="133"/>
      <c r="D67" s="133"/>
      <c r="E67" s="133"/>
      <c r="F67" s="133"/>
      <c r="G67" s="133"/>
      <c r="H67" s="133"/>
      <c r="I67" s="133"/>
      <c r="J67" s="133">
        <v>0.0</v>
      </c>
      <c r="K67" s="199">
        <v>0.0</v>
      </c>
      <c r="L67" s="133">
        <v>8.0</v>
      </c>
      <c r="M67" s="133">
        <v>0.0</v>
      </c>
      <c r="N67" s="133">
        <v>5.0</v>
      </c>
      <c r="O67" s="133">
        <v>6.0</v>
      </c>
      <c r="P67" s="133">
        <v>3.0</v>
      </c>
      <c r="Q67" s="133">
        <v>8.0</v>
      </c>
      <c r="R67" s="133">
        <v>0.0</v>
      </c>
      <c r="S67" s="133">
        <v>6.0</v>
      </c>
      <c r="T67" s="133">
        <v>8.0</v>
      </c>
      <c r="U67" s="134">
        <v>7.0</v>
      </c>
      <c r="V67" s="133"/>
      <c r="W67" s="133"/>
      <c r="X67" s="133"/>
      <c r="Y67" s="133"/>
      <c r="Z67" s="133"/>
      <c r="AA67" s="133"/>
      <c r="AB67" s="130"/>
      <c r="AC67" s="130"/>
      <c r="AD67" s="130"/>
      <c r="AE67" s="130"/>
      <c r="AF67" s="130"/>
      <c r="AG67" s="130"/>
      <c r="AH67" s="130"/>
      <c r="AI67" s="130"/>
      <c r="AJ67" s="130"/>
      <c r="AK67" s="130"/>
      <c r="AL67" s="130"/>
      <c r="AM67" s="130"/>
      <c r="AN67" s="130"/>
      <c r="AO67" s="130"/>
    </row>
    <row r="68" hidden="1">
      <c r="A68" s="484" t="s">
        <v>1089</v>
      </c>
      <c r="B68" s="137"/>
      <c r="C68" s="133"/>
      <c r="D68" s="133"/>
      <c r="E68" s="133"/>
      <c r="F68" s="133"/>
      <c r="G68" s="133"/>
      <c r="H68" s="133"/>
      <c r="I68" s="133"/>
      <c r="J68" s="133">
        <v>0.0</v>
      </c>
      <c r="K68" s="133">
        <v>0.0</v>
      </c>
      <c r="L68" s="133">
        <v>0.0</v>
      </c>
      <c r="M68" s="133">
        <v>0.0</v>
      </c>
      <c r="N68" s="133"/>
      <c r="O68" s="133"/>
      <c r="P68" s="133"/>
      <c r="Q68" s="133"/>
      <c r="R68" s="133"/>
      <c r="S68" s="133"/>
      <c r="T68" s="133"/>
      <c r="U68" s="134"/>
      <c r="V68" s="133"/>
      <c r="W68" s="133"/>
      <c r="X68" s="133"/>
      <c r="Y68" s="133"/>
      <c r="Z68" s="133"/>
      <c r="AA68" s="133"/>
      <c r="AB68" s="130"/>
      <c r="AC68" s="130"/>
      <c r="AD68" s="130"/>
      <c r="AE68" s="130"/>
      <c r="AF68" s="130"/>
      <c r="AG68" s="130"/>
      <c r="AH68" s="130"/>
      <c r="AI68" s="130"/>
      <c r="AJ68" s="130"/>
      <c r="AK68" s="130"/>
      <c r="AL68" s="130"/>
      <c r="AM68" s="130"/>
      <c r="AN68" s="130"/>
      <c r="AO68" s="130"/>
    </row>
    <row r="69" hidden="1">
      <c r="A69" s="484" t="s">
        <v>1090</v>
      </c>
      <c r="B69" s="137"/>
      <c r="C69" s="133"/>
      <c r="D69" s="133"/>
      <c r="E69" s="133"/>
      <c r="F69" s="133"/>
      <c r="G69" s="133"/>
      <c r="H69" s="133"/>
      <c r="I69" s="133"/>
      <c r="J69" s="133">
        <v>0.0</v>
      </c>
      <c r="K69" s="133">
        <v>13.0</v>
      </c>
      <c r="L69" s="133">
        <v>6.0</v>
      </c>
      <c r="M69" s="133">
        <v>0.0</v>
      </c>
      <c r="N69" s="133">
        <v>0.0</v>
      </c>
      <c r="O69" s="133"/>
      <c r="P69" s="133"/>
      <c r="Q69" s="133"/>
      <c r="R69" s="133"/>
      <c r="S69" s="133"/>
      <c r="T69" s="133"/>
      <c r="U69" s="133"/>
      <c r="V69" s="133"/>
      <c r="W69" s="133"/>
      <c r="X69" s="133"/>
      <c r="Y69" s="133"/>
      <c r="Z69" s="133"/>
      <c r="AA69" s="133"/>
      <c r="AB69" s="130"/>
      <c r="AC69" s="130"/>
      <c r="AD69" s="130"/>
      <c r="AE69" s="130"/>
      <c r="AF69" s="130"/>
      <c r="AG69" s="130"/>
      <c r="AH69" s="130"/>
      <c r="AI69" s="130"/>
      <c r="AJ69" s="130"/>
      <c r="AK69" s="130"/>
      <c r="AL69" s="130"/>
      <c r="AM69" s="130"/>
      <c r="AN69" s="130"/>
      <c r="AO69" s="130"/>
    </row>
    <row r="70" hidden="1">
      <c r="A70" s="484" t="s">
        <v>1091</v>
      </c>
      <c r="B70" s="137"/>
      <c r="C70" s="133"/>
      <c r="D70" s="133"/>
      <c r="E70" s="133"/>
      <c r="F70" s="133"/>
      <c r="G70" s="133"/>
      <c r="H70" s="133"/>
      <c r="I70" s="133"/>
      <c r="J70" s="133"/>
      <c r="K70" s="133"/>
      <c r="L70" s="133"/>
      <c r="M70" s="133"/>
      <c r="N70" s="133">
        <v>0.0</v>
      </c>
      <c r="O70" s="133"/>
      <c r="P70" s="133"/>
      <c r="Q70" s="133"/>
      <c r="R70" s="133"/>
      <c r="S70" s="133"/>
      <c r="T70" s="133"/>
      <c r="U70" s="134"/>
      <c r="V70" s="133"/>
      <c r="W70" s="133"/>
      <c r="X70" s="133"/>
      <c r="Y70" s="133"/>
      <c r="Z70" s="133"/>
      <c r="AA70" s="133"/>
      <c r="AB70" s="130"/>
      <c r="AC70" s="130"/>
      <c r="AD70" s="130"/>
      <c r="AE70" s="130"/>
      <c r="AF70" s="130"/>
      <c r="AG70" s="130"/>
      <c r="AH70" s="130"/>
      <c r="AI70" s="130"/>
      <c r="AJ70" s="130"/>
      <c r="AK70" s="130"/>
      <c r="AL70" s="130"/>
      <c r="AM70" s="130"/>
      <c r="AN70" s="130"/>
      <c r="AO70" s="130"/>
    </row>
    <row r="71">
      <c r="A71" s="484" t="s">
        <v>1092</v>
      </c>
      <c r="B71" s="137"/>
      <c r="C71" s="133"/>
      <c r="D71" s="133"/>
      <c r="E71" s="133"/>
      <c r="F71" s="133"/>
      <c r="G71" s="133"/>
      <c r="H71" s="133"/>
      <c r="I71" s="133"/>
      <c r="J71" s="133"/>
      <c r="K71" s="133"/>
      <c r="L71" s="133"/>
      <c r="M71" s="133"/>
      <c r="N71" s="133"/>
      <c r="O71" s="133">
        <v>3.0</v>
      </c>
      <c r="P71" s="133">
        <v>3.0</v>
      </c>
      <c r="Q71" s="133">
        <v>3.0</v>
      </c>
      <c r="R71" s="133">
        <v>5.0</v>
      </c>
      <c r="S71" s="133">
        <v>12.0</v>
      </c>
      <c r="T71" s="133">
        <v>0.0</v>
      </c>
      <c r="U71" s="134">
        <v>6.0</v>
      </c>
      <c r="V71" s="133"/>
      <c r="W71" s="133"/>
      <c r="X71" s="133"/>
      <c r="Y71" s="133"/>
      <c r="Z71" s="133"/>
      <c r="AA71" s="133"/>
      <c r="AB71" s="130"/>
      <c r="AC71" s="130"/>
      <c r="AD71" s="130"/>
      <c r="AE71" s="130"/>
      <c r="AF71" s="130"/>
      <c r="AG71" s="130"/>
      <c r="AH71" s="130"/>
      <c r="AI71" s="130"/>
      <c r="AJ71" s="130"/>
      <c r="AK71" s="130"/>
      <c r="AL71" s="130"/>
      <c r="AM71" s="130"/>
      <c r="AN71" s="130"/>
      <c r="AO71" s="130"/>
    </row>
    <row r="72">
      <c r="A72" s="484" t="s">
        <v>1093</v>
      </c>
      <c r="B72" s="137"/>
      <c r="C72" s="133"/>
      <c r="D72" s="133"/>
      <c r="E72" s="133"/>
      <c r="F72" s="133"/>
      <c r="G72" s="133"/>
      <c r="H72" s="133"/>
      <c r="I72" s="133"/>
      <c r="J72" s="133"/>
      <c r="K72" s="133"/>
      <c r="L72" s="133"/>
      <c r="M72" s="133"/>
      <c r="N72" s="133"/>
      <c r="O72" s="133"/>
      <c r="P72" s="133"/>
      <c r="Q72" s="133"/>
      <c r="R72" s="133"/>
      <c r="S72" s="133"/>
      <c r="T72" s="133"/>
      <c r="U72" s="134">
        <v>17.0</v>
      </c>
      <c r="V72" s="133"/>
      <c r="W72" s="133"/>
      <c r="X72" s="133"/>
      <c r="Y72" s="133"/>
      <c r="Z72" s="133"/>
      <c r="AA72" s="133"/>
      <c r="AB72" s="130"/>
      <c r="AC72" s="130"/>
      <c r="AD72" s="130"/>
      <c r="AE72" s="130"/>
      <c r="AF72" s="130"/>
      <c r="AG72" s="130"/>
      <c r="AH72" s="130"/>
      <c r="AI72" s="130"/>
      <c r="AJ72" s="130"/>
      <c r="AK72" s="130"/>
      <c r="AL72" s="130"/>
      <c r="AM72" s="130"/>
      <c r="AN72" s="130"/>
      <c r="AO72" s="130"/>
    </row>
    <row r="73">
      <c r="B73" s="138"/>
      <c r="U73" s="31"/>
    </row>
    <row r="74">
      <c r="B74" s="138"/>
      <c r="U74" s="31"/>
    </row>
    <row r="75">
      <c r="A75" s="262" t="s">
        <v>1005</v>
      </c>
      <c r="B75" s="127"/>
      <c r="C75" s="128"/>
      <c r="D75" s="128"/>
      <c r="E75" s="128"/>
      <c r="F75" s="128"/>
      <c r="G75" s="128"/>
      <c r="H75" s="128"/>
      <c r="I75" s="128"/>
      <c r="J75" s="128"/>
      <c r="K75" s="128"/>
      <c r="L75" s="128"/>
      <c r="M75" s="128"/>
      <c r="N75" s="128"/>
      <c r="O75" s="128"/>
      <c r="P75" s="128"/>
      <c r="Q75" s="128"/>
      <c r="R75" s="128"/>
      <c r="S75" s="128"/>
      <c r="T75" s="128"/>
      <c r="U75" s="129"/>
      <c r="V75" s="128"/>
      <c r="W75" s="128"/>
      <c r="X75" s="128"/>
      <c r="Y75" s="128"/>
      <c r="Z75" s="128"/>
      <c r="AA75" s="128"/>
      <c r="AB75" s="128"/>
      <c r="AC75" s="128"/>
      <c r="AD75" s="128"/>
      <c r="AE75" s="130"/>
      <c r="AF75" s="130"/>
      <c r="AG75" s="130"/>
      <c r="AH75" s="130"/>
      <c r="AI75" s="130"/>
      <c r="AJ75" s="130"/>
      <c r="AK75" s="130"/>
      <c r="AL75" s="130"/>
      <c r="AM75" s="130"/>
      <c r="AN75" s="130"/>
      <c r="AO75" s="130"/>
    </row>
    <row r="76">
      <c r="A76" s="126" t="s">
        <v>225</v>
      </c>
      <c r="B76" s="410"/>
      <c r="C76" s="403"/>
      <c r="D76" s="403"/>
      <c r="E76" s="403"/>
      <c r="F76" s="403"/>
      <c r="G76" s="403"/>
      <c r="H76" s="403"/>
      <c r="I76" s="403"/>
      <c r="J76" s="403"/>
      <c r="K76" s="403"/>
      <c r="L76" s="403"/>
      <c r="M76" s="403"/>
      <c r="N76" s="403"/>
      <c r="O76" s="403"/>
      <c r="P76" s="403"/>
      <c r="Q76" s="403"/>
      <c r="R76" s="403"/>
      <c r="S76" s="403"/>
      <c r="T76" s="403"/>
      <c r="U76" s="403"/>
      <c r="V76" s="411"/>
      <c r="W76" s="403"/>
      <c r="X76" s="403"/>
      <c r="Y76" s="403"/>
      <c r="Z76" s="403"/>
      <c r="AA76" s="403"/>
      <c r="AB76" s="403"/>
      <c r="AC76" s="403"/>
      <c r="AD76" s="403"/>
      <c r="AE76" s="403"/>
      <c r="AF76" s="403"/>
      <c r="AG76" s="403"/>
      <c r="AH76" s="403"/>
      <c r="AI76" s="403"/>
      <c r="AJ76" s="403"/>
      <c r="AK76" s="403"/>
      <c r="AL76" s="403"/>
      <c r="AM76" s="403"/>
      <c r="AN76" s="403"/>
    </row>
    <row r="77">
      <c r="B77" s="138"/>
      <c r="U77" s="31"/>
    </row>
    <row r="78">
      <c r="B78" s="138"/>
      <c r="U78" s="31"/>
    </row>
    <row r="79">
      <c r="B79" s="138"/>
      <c r="U79" s="31"/>
    </row>
    <row r="80">
      <c r="B80" s="138"/>
      <c r="U80" s="31"/>
    </row>
    <row r="81">
      <c r="B81" s="138"/>
      <c r="U81" s="31"/>
    </row>
    <row r="82">
      <c r="B82" s="138"/>
      <c r="U82" s="31"/>
    </row>
    <row r="83">
      <c r="B83" s="138"/>
      <c r="U83" s="31"/>
    </row>
    <row r="84">
      <c r="B84" s="138"/>
      <c r="U84" s="31"/>
    </row>
    <row r="85">
      <c r="B85" s="138"/>
      <c r="U85" s="31"/>
    </row>
    <row r="86">
      <c r="B86" s="138"/>
      <c r="U86" s="31"/>
    </row>
    <row r="87">
      <c r="B87" s="138"/>
      <c r="U87" s="31"/>
    </row>
    <row r="88">
      <c r="B88" s="138"/>
      <c r="U88" s="31"/>
    </row>
    <row r="89">
      <c r="B89" s="138"/>
      <c r="U89" s="31"/>
    </row>
    <row r="90">
      <c r="B90" s="138"/>
      <c r="U90" s="31"/>
    </row>
    <row r="91">
      <c r="B91" s="138"/>
      <c r="U91" s="31"/>
    </row>
    <row r="92">
      <c r="B92" s="138"/>
      <c r="U92" s="31"/>
    </row>
    <row r="93">
      <c r="B93" s="138"/>
      <c r="U93" s="31"/>
    </row>
    <row r="94">
      <c r="B94" s="138"/>
      <c r="U94" s="31"/>
    </row>
    <row r="95">
      <c r="B95" s="138"/>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row r="947">
      <c r="B947" s="138"/>
      <c r="U947" s="31"/>
    </row>
    <row r="948">
      <c r="B948" s="138"/>
      <c r="U948" s="31"/>
    </row>
    <row r="949">
      <c r="B949" s="138"/>
      <c r="U949" s="31"/>
    </row>
    <row r="950">
      <c r="B950" s="138"/>
      <c r="U950" s="31"/>
    </row>
    <row r="951">
      <c r="B951" s="138"/>
      <c r="U951" s="31"/>
    </row>
    <row r="952">
      <c r="B952" s="138"/>
      <c r="U952" s="31"/>
    </row>
    <row r="953">
      <c r="B953" s="138"/>
      <c r="U953" s="31"/>
    </row>
    <row r="954">
      <c r="B954" s="138"/>
      <c r="U954" s="31"/>
    </row>
    <row r="955">
      <c r="B955" s="138"/>
      <c r="U955" s="31"/>
    </row>
    <row r="956">
      <c r="B956" s="138"/>
      <c r="U956" s="31"/>
    </row>
    <row r="957">
      <c r="B957" s="138"/>
      <c r="U957" s="31"/>
    </row>
    <row r="958">
      <c r="B958" s="138"/>
      <c r="U958" s="31"/>
    </row>
    <row r="959">
      <c r="B959" s="138"/>
      <c r="U959" s="31"/>
    </row>
    <row r="960">
      <c r="B960" s="138"/>
      <c r="U960" s="31"/>
    </row>
  </sheetData>
  <mergeCells count="16">
    <mergeCell ref="I3:J3"/>
    <mergeCell ref="K3:L3"/>
    <mergeCell ref="M3:N3"/>
    <mergeCell ref="O3:P3"/>
    <mergeCell ref="Q3:R3"/>
    <mergeCell ref="S3:T3"/>
    <mergeCell ref="U3:V3"/>
    <mergeCell ref="W3:Y3"/>
    <mergeCell ref="B2:H2"/>
    <mergeCell ref="I2:N2"/>
    <mergeCell ref="O2:T2"/>
    <mergeCell ref="U2:AA2"/>
    <mergeCell ref="B3:C3"/>
    <mergeCell ref="D3:E3"/>
    <mergeCell ref="F3:H3"/>
    <mergeCell ref="Z3:AA3"/>
  </mergeCells>
  <dataValidations>
    <dataValidation type="list" allowBlank="1" showErrorMessage="1" sqref="B24:AA24 B33:AA33">
      <formula1>"0%,100%"</formula1>
    </dataValidation>
  </dataValidations>
  <hyperlinks>
    <hyperlink r:id="rId2" ref="N44"/>
    <hyperlink r:id="rId3" ref="O44"/>
    <hyperlink r:id="rId4" ref="P44"/>
    <hyperlink r:id="rId5" ref="Q44"/>
    <hyperlink r:id="rId6" ref="R44"/>
    <hyperlink r:id="rId7" ref="S44"/>
    <hyperlink r:id="rId8" ref="T44"/>
    <hyperlink r:id="rId9" ref="U44"/>
  </hyperlinks>
  <drawing r:id="rId10"/>
  <legacyDrawing r:id="rId1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32.75"/>
    <col customWidth="1" min="2" max="2" width="14.75"/>
    <col customWidth="1" min="5" max="5" width="14.0"/>
    <col customWidth="1" min="15" max="15" width="20.0"/>
    <col customWidth="1" min="16" max="16" width="18.88"/>
    <col customWidth="1" min="17" max="17" width="19.75"/>
    <col customWidth="1" min="18" max="18" width="17.63"/>
    <col customWidth="1" min="19" max="20" width="18.13"/>
    <col customWidth="1" min="21" max="21" width="18.25"/>
    <col customWidth="1" min="28" max="28" width="13.5"/>
  </cols>
  <sheetData>
    <row r="1" ht="30.0" customHeight="1">
      <c r="A1" s="1" t="s">
        <v>1094</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c r="AO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c r="AN2" s="12"/>
      <c r="AO2" s="12"/>
    </row>
    <row r="3">
      <c r="A3" s="6" t="s">
        <v>6</v>
      </c>
      <c r="B3" s="13" t="s">
        <v>7</v>
      </c>
      <c r="C3" s="14"/>
      <c r="D3" s="15" t="s">
        <v>8</v>
      </c>
      <c r="E3" s="9"/>
      <c r="F3" s="10" t="s">
        <v>9</v>
      </c>
      <c r="G3" s="9"/>
      <c r="H3" s="15" t="s">
        <v>10</v>
      </c>
      <c r="I3" s="9"/>
      <c r="J3" s="10" t="s">
        <v>11</v>
      </c>
      <c r="K3" s="8"/>
      <c r="L3" s="9"/>
      <c r="M3" s="16" t="s">
        <v>12</v>
      </c>
      <c r="N3" s="9"/>
      <c r="O3" s="10" t="s">
        <v>13</v>
      </c>
      <c r="P3" s="9"/>
      <c r="Q3" s="15" t="s">
        <v>14</v>
      </c>
      <c r="R3" s="9"/>
      <c r="S3" s="10" t="s">
        <v>15</v>
      </c>
      <c r="T3" s="9"/>
      <c r="U3" s="17" t="s">
        <v>16</v>
      </c>
      <c r="V3" s="9"/>
      <c r="W3" s="10" t="s">
        <v>17</v>
      </c>
      <c r="X3" s="8"/>
      <c r="Y3" s="9"/>
      <c r="Z3" s="16" t="s">
        <v>18</v>
      </c>
      <c r="AA3" s="9"/>
      <c r="AB3" s="12"/>
      <c r="AC3" s="12"/>
      <c r="AD3" s="12"/>
      <c r="AE3" s="12"/>
      <c r="AF3" s="12"/>
      <c r="AG3" s="12"/>
      <c r="AH3" s="12"/>
      <c r="AI3" s="12"/>
      <c r="AJ3" s="12"/>
      <c r="AK3" s="12"/>
      <c r="AL3" s="12"/>
      <c r="AM3" s="12"/>
      <c r="AN3" s="12"/>
      <c r="AO3" s="12"/>
    </row>
    <row r="4">
      <c r="A4" s="6" t="s">
        <v>19</v>
      </c>
      <c r="B4" s="18"/>
      <c r="C4" s="18"/>
      <c r="D4" s="18"/>
      <c r="E4" s="18"/>
      <c r="F4" s="18"/>
      <c r="G4" s="18"/>
      <c r="H4" s="19"/>
      <c r="I4" s="19"/>
      <c r="J4" s="19"/>
      <c r="K4" s="19"/>
      <c r="L4" s="19"/>
      <c r="M4" s="19"/>
      <c r="N4" s="19"/>
      <c r="O4" s="19" t="s">
        <v>1095</v>
      </c>
      <c r="P4" s="19" t="s">
        <v>1096</v>
      </c>
      <c r="Q4" s="19" t="s">
        <v>1097</v>
      </c>
      <c r="R4" s="19" t="s">
        <v>1098</v>
      </c>
      <c r="S4" s="19" t="s">
        <v>1099</v>
      </c>
      <c r="T4" s="19" t="s">
        <v>1100</v>
      </c>
      <c r="U4" s="20" t="s">
        <v>1101</v>
      </c>
      <c r="V4" s="19"/>
      <c r="W4" s="19"/>
      <c r="X4" s="19"/>
      <c r="Y4" s="19"/>
      <c r="Z4" s="19"/>
      <c r="AA4" s="21"/>
      <c r="AB4" s="12"/>
      <c r="AC4" s="12"/>
      <c r="AD4" s="12"/>
      <c r="AE4" s="12"/>
      <c r="AF4" s="12"/>
      <c r="AG4" s="12"/>
      <c r="AH4" s="12"/>
      <c r="AI4" s="12"/>
      <c r="AJ4" s="12"/>
      <c r="AK4" s="12"/>
      <c r="AL4" s="12"/>
      <c r="AM4" s="12"/>
      <c r="AN4" s="12"/>
      <c r="AO4" s="12"/>
    </row>
    <row r="5">
      <c r="A5" s="22" t="s">
        <v>20</v>
      </c>
      <c r="B5" s="23"/>
      <c r="C5" s="23"/>
      <c r="D5" s="23"/>
      <c r="E5" s="23"/>
      <c r="F5" s="23"/>
      <c r="G5" s="23"/>
      <c r="H5" s="23"/>
      <c r="I5" s="23"/>
      <c r="J5" s="23"/>
      <c r="K5" s="23"/>
      <c r="L5" s="23"/>
      <c r="M5" s="24"/>
      <c r="N5" s="24"/>
      <c r="O5" s="25" t="s">
        <v>1102</v>
      </c>
      <c r="P5" s="25" t="s">
        <v>1103</v>
      </c>
      <c r="Q5" s="25" t="s">
        <v>1104</v>
      </c>
      <c r="R5" s="25" t="s">
        <v>1105</v>
      </c>
      <c r="S5" s="25" t="s">
        <v>1106</v>
      </c>
      <c r="T5" s="25" t="s">
        <v>1107</v>
      </c>
      <c r="U5" s="25" t="s">
        <v>1108</v>
      </c>
      <c r="V5" s="25"/>
      <c r="W5" s="24"/>
      <c r="X5" s="24"/>
      <c r="Y5" s="24"/>
      <c r="Z5" s="25"/>
      <c r="AA5" s="25"/>
      <c r="AB5" s="27"/>
      <c r="AC5" s="28"/>
      <c r="AD5" s="28"/>
      <c r="AE5" s="28"/>
      <c r="AF5" s="28"/>
      <c r="AG5" s="28"/>
      <c r="AH5" s="28"/>
      <c r="AI5" s="28"/>
      <c r="AJ5" s="28"/>
      <c r="AK5" s="28"/>
      <c r="AL5" s="28"/>
      <c r="AM5" s="28"/>
      <c r="AN5" s="28"/>
      <c r="AO5" s="28"/>
    </row>
    <row r="6">
      <c r="A6" s="29"/>
      <c r="B6" s="30"/>
      <c r="U6" s="31"/>
    </row>
    <row r="7">
      <c r="A7" s="32" t="s">
        <v>21</v>
      </c>
      <c r="B7" s="33"/>
      <c r="C7" s="34"/>
      <c r="D7" s="34"/>
      <c r="E7" s="34"/>
      <c r="F7" s="34"/>
      <c r="G7" s="34"/>
      <c r="H7" s="34"/>
      <c r="I7" s="34"/>
      <c r="J7" s="34"/>
      <c r="K7" s="34"/>
      <c r="L7" s="34"/>
      <c r="M7" s="34"/>
      <c r="N7" s="34"/>
      <c r="O7" s="34">
        <v>126.0</v>
      </c>
      <c r="P7" s="34">
        <v>108.0</v>
      </c>
      <c r="Q7" s="34">
        <v>81.0</v>
      </c>
      <c r="R7" s="34">
        <v>132.0</v>
      </c>
      <c r="S7" s="34">
        <v>125.0</v>
      </c>
      <c r="T7" s="35">
        <v>145.0</v>
      </c>
      <c r="U7" s="36">
        <v>147.0</v>
      </c>
      <c r="V7" s="34"/>
      <c r="W7" s="34"/>
      <c r="X7" s="34"/>
      <c r="Y7" s="34"/>
      <c r="Z7" s="34"/>
      <c r="AA7" s="34"/>
    </row>
    <row r="8">
      <c r="A8" s="37" t="s">
        <v>22</v>
      </c>
      <c r="B8" s="38"/>
      <c r="C8" s="39"/>
      <c r="D8" s="39"/>
      <c r="E8" s="39"/>
      <c r="F8" s="39"/>
      <c r="G8" s="39"/>
      <c r="H8" s="39"/>
      <c r="I8" s="39"/>
      <c r="J8" s="39"/>
      <c r="K8" s="39"/>
      <c r="L8" s="39"/>
      <c r="M8" s="39"/>
      <c r="N8" s="39"/>
      <c r="O8" s="39">
        <v>116.0</v>
      </c>
      <c r="P8" s="39">
        <v>108.0</v>
      </c>
      <c r="Q8" s="39">
        <v>78.0</v>
      </c>
      <c r="R8" s="39">
        <v>115.0</v>
      </c>
      <c r="S8" s="39">
        <v>103.0</v>
      </c>
      <c r="T8" s="40">
        <v>119.0</v>
      </c>
      <c r="U8" s="41">
        <v>113.0</v>
      </c>
      <c r="V8" s="39"/>
      <c r="W8" s="39"/>
      <c r="X8" s="39"/>
      <c r="Y8" s="39"/>
      <c r="Z8" s="39"/>
      <c r="AA8" s="39"/>
    </row>
    <row r="9">
      <c r="A9" s="37" t="s">
        <v>23</v>
      </c>
      <c r="B9" s="38"/>
      <c r="C9" s="39"/>
      <c r="D9" s="39"/>
      <c r="E9" s="39"/>
      <c r="F9" s="39"/>
      <c r="G9" s="39"/>
      <c r="H9" s="39"/>
      <c r="I9" s="39"/>
      <c r="J9" s="39"/>
      <c r="K9" s="39"/>
      <c r="L9" s="39"/>
      <c r="M9" s="39"/>
      <c r="N9" s="39"/>
      <c r="O9" s="39">
        <v>10.0</v>
      </c>
      <c r="P9" s="39">
        <v>0.0</v>
      </c>
      <c r="Q9" s="39">
        <v>3.0</v>
      </c>
      <c r="R9" s="39">
        <v>17.0</v>
      </c>
      <c r="S9" s="39">
        <v>22.0</v>
      </c>
      <c r="T9" s="40">
        <v>26.0</v>
      </c>
      <c r="U9" s="41">
        <v>34.0</v>
      </c>
      <c r="V9" s="41"/>
      <c r="W9" s="41"/>
      <c r="X9" s="41"/>
      <c r="Y9" s="41"/>
      <c r="Z9" s="41"/>
      <c r="AA9" s="41"/>
    </row>
    <row r="10">
      <c r="A10" s="42" t="s">
        <v>24</v>
      </c>
      <c r="B10" s="43">
        <f>IFERROR(B9/B7, 0)</f>
        <v>0</v>
      </c>
      <c r="C10" s="43"/>
      <c r="D10" s="43"/>
      <c r="E10" s="43"/>
      <c r="F10" s="43"/>
      <c r="G10" s="43"/>
      <c r="H10" s="43"/>
      <c r="I10" s="43"/>
      <c r="J10" s="43"/>
      <c r="K10" s="43"/>
      <c r="L10" s="43"/>
      <c r="M10" s="43"/>
      <c r="N10" s="43"/>
      <c r="O10" s="43">
        <v>0.0794</v>
      </c>
      <c r="P10" s="43">
        <v>0.0</v>
      </c>
      <c r="Q10" s="43">
        <v>0.04</v>
      </c>
      <c r="R10" s="43">
        <v>0.12</v>
      </c>
      <c r="S10" s="43">
        <v>0.12</v>
      </c>
      <c r="T10" s="43">
        <v>0.18</v>
      </c>
      <c r="U10" s="45">
        <v>0.23</v>
      </c>
      <c r="V10" s="45"/>
      <c r="W10" s="45"/>
      <c r="X10" s="45"/>
      <c r="Y10" s="45"/>
      <c r="Z10" s="45"/>
      <c r="AA10" s="45"/>
    </row>
    <row r="11">
      <c r="A11" s="40"/>
      <c r="B11" s="46"/>
      <c r="C11" s="40"/>
      <c r="D11" s="40"/>
      <c r="E11" s="40"/>
      <c r="F11" s="40"/>
      <c r="G11" s="40"/>
      <c r="H11" s="40"/>
      <c r="I11" s="40"/>
      <c r="J11" s="40"/>
      <c r="K11" s="40"/>
      <c r="L11" s="40"/>
      <c r="M11" s="40"/>
      <c r="N11" s="40"/>
      <c r="O11" s="40"/>
      <c r="P11" s="40"/>
      <c r="Q11" s="40"/>
      <c r="R11" s="40"/>
      <c r="S11" s="40"/>
      <c r="T11" s="40"/>
      <c r="U11" s="47"/>
      <c r="V11" s="40"/>
      <c r="W11" s="40"/>
      <c r="X11" s="40"/>
      <c r="Y11" s="40"/>
      <c r="Z11" s="40"/>
      <c r="AA11" s="40"/>
    </row>
    <row r="12">
      <c r="A12" s="48" t="s">
        <v>25</v>
      </c>
      <c r="B12" s="49"/>
      <c r="C12" s="50"/>
      <c r="D12" s="50"/>
      <c r="E12" s="50"/>
      <c r="F12" s="50"/>
      <c r="G12" s="50"/>
      <c r="H12" s="50"/>
      <c r="I12" s="50"/>
      <c r="J12" s="50"/>
      <c r="K12" s="50"/>
      <c r="L12" s="50"/>
      <c r="M12" s="50"/>
      <c r="N12" s="50"/>
      <c r="O12" s="50">
        <v>8.0</v>
      </c>
      <c r="P12" s="50">
        <v>3.0</v>
      </c>
      <c r="Q12" s="50">
        <v>0.0</v>
      </c>
      <c r="R12" s="50">
        <v>2.0</v>
      </c>
      <c r="S12" s="50">
        <v>9.0</v>
      </c>
      <c r="T12" s="51">
        <v>9.0</v>
      </c>
      <c r="U12" s="52">
        <v>39.0</v>
      </c>
      <c r="V12" s="50"/>
      <c r="W12" s="50"/>
      <c r="X12" s="50"/>
      <c r="Y12" s="50"/>
      <c r="Z12" s="50"/>
      <c r="AA12" s="50"/>
    </row>
    <row r="13">
      <c r="A13" s="53" t="s">
        <v>26</v>
      </c>
      <c r="B13" s="54"/>
      <c r="C13" s="55"/>
      <c r="D13" s="55"/>
      <c r="E13" s="55"/>
      <c r="F13" s="55"/>
      <c r="G13" s="55"/>
      <c r="H13" s="55"/>
      <c r="I13" s="55"/>
      <c r="J13" s="55"/>
      <c r="K13" s="55"/>
      <c r="L13" s="55"/>
      <c r="M13" s="55"/>
      <c r="N13" s="55"/>
      <c r="O13" s="55">
        <v>3.0</v>
      </c>
      <c r="P13" s="55">
        <v>3.0</v>
      </c>
      <c r="Q13" s="55">
        <v>0.0</v>
      </c>
      <c r="R13" s="55">
        <v>0.0</v>
      </c>
      <c r="S13" s="55">
        <v>0.0</v>
      </c>
      <c r="T13" s="56">
        <v>0.0</v>
      </c>
      <c r="U13" s="57">
        <v>17.0</v>
      </c>
      <c r="V13" s="55"/>
      <c r="W13" s="55"/>
      <c r="X13" s="55"/>
      <c r="Y13" s="55"/>
      <c r="Z13" s="55"/>
      <c r="AA13" s="55"/>
    </row>
    <row r="14">
      <c r="A14" s="58" t="s">
        <v>27</v>
      </c>
      <c r="B14" s="59"/>
      <c r="C14" s="60"/>
      <c r="D14" s="60"/>
      <c r="E14" s="60"/>
      <c r="F14" s="60"/>
      <c r="G14" s="60"/>
      <c r="H14" s="60"/>
      <c r="I14" s="60"/>
      <c r="J14" s="60"/>
      <c r="K14" s="60"/>
      <c r="L14" s="60"/>
      <c r="M14" s="60"/>
      <c r="N14" s="60"/>
      <c r="O14" s="60">
        <v>10.0</v>
      </c>
      <c r="P14" s="60">
        <v>0.0</v>
      </c>
      <c r="Q14" s="60">
        <v>0.0</v>
      </c>
      <c r="R14" s="60">
        <v>2.0</v>
      </c>
      <c r="S14" s="60">
        <v>9.0</v>
      </c>
      <c r="T14" s="61">
        <v>12.0</v>
      </c>
      <c r="U14" s="62">
        <v>30.0</v>
      </c>
      <c r="V14" s="60"/>
      <c r="W14" s="60"/>
      <c r="X14" s="60"/>
      <c r="Y14" s="60"/>
      <c r="Z14" s="60"/>
      <c r="AA14" s="60"/>
    </row>
    <row r="15">
      <c r="A15" s="56"/>
      <c r="B15" s="63"/>
      <c r="C15" s="56"/>
      <c r="D15" s="56"/>
      <c r="E15" s="56"/>
      <c r="F15" s="56"/>
      <c r="G15" s="56"/>
      <c r="H15" s="56"/>
      <c r="I15" s="56"/>
      <c r="J15" s="56"/>
      <c r="K15" s="56"/>
      <c r="L15" s="56"/>
      <c r="M15" s="56"/>
      <c r="N15" s="56"/>
      <c r="O15" s="56"/>
      <c r="P15" s="56"/>
      <c r="Q15" s="56"/>
      <c r="R15" s="56"/>
      <c r="S15" s="56"/>
      <c r="T15" s="56"/>
      <c r="U15" s="64"/>
      <c r="V15" s="56"/>
      <c r="W15" s="56"/>
      <c r="X15" s="56"/>
      <c r="Y15" s="56"/>
      <c r="Z15" s="56"/>
      <c r="AA15" s="56"/>
    </row>
    <row r="16">
      <c r="A16" s="65" t="s">
        <v>28</v>
      </c>
      <c r="B16" s="66"/>
      <c r="C16" s="65"/>
      <c r="D16" s="65"/>
      <c r="E16" s="65"/>
      <c r="F16" s="65"/>
      <c r="G16" s="65"/>
      <c r="H16" s="65"/>
      <c r="I16" s="65"/>
      <c r="J16" s="65"/>
      <c r="K16" s="65"/>
      <c r="L16" s="65"/>
      <c r="M16" s="65"/>
      <c r="N16" s="65"/>
      <c r="O16" s="65"/>
      <c r="P16" s="65"/>
      <c r="Q16" s="65"/>
      <c r="R16" s="65"/>
      <c r="S16" s="65"/>
      <c r="T16" s="67"/>
      <c r="U16" s="68"/>
      <c r="V16" s="65"/>
      <c r="W16" s="65"/>
      <c r="X16" s="65"/>
      <c r="Y16" s="65"/>
      <c r="Z16" s="65"/>
      <c r="AA16" s="65"/>
    </row>
    <row r="17">
      <c r="A17" s="65" t="s">
        <v>29</v>
      </c>
      <c r="B17" s="66"/>
      <c r="C17" s="65"/>
      <c r="D17" s="65"/>
      <c r="E17" s="65"/>
      <c r="F17" s="65"/>
      <c r="G17" s="65"/>
      <c r="H17" s="65"/>
      <c r="I17" s="65"/>
      <c r="J17" s="65"/>
      <c r="K17" s="65"/>
      <c r="L17" s="65"/>
      <c r="M17" s="65"/>
      <c r="N17" s="65"/>
      <c r="O17" s="65"/>
      <c r="P17" s="65"/>
      <c r="Q17" s="65"/>
      <c r="R17" s="65"/>
      <c r="S17" s="65"/>
      <c r="T17" s="67"/>
      <c r="U17" s="68"/>
      <c r="V17" s="65"/>
      <c r="W17" s="65"/>
      <c r="X17" s="65"/>
      <c r="Y17" s="65"/>
      <c r="Z17" s="65"/>
      <c r="AA17" s="65"/>
    </row>
    <row r="18">
      <c r="A18" s="69" t="s">
        <v>30</v>
      </c>
      <c r="B18" s="70"/>
      <c r="C18" s="69"/>
      <c r="D18" s="69"/>
      <c r="E18" s="69"/>
      <c r="F18" s="69"/>
      <c r="G18" s="69"/>
      <c r="H18" s="69"/>
      <c r="I18" s="69"/>
      <c r="J18" s="69"/>
      <c r="K18" s="69"/>
      <c r="L18" s="69"/>
      <c r="M18" s="69"/>
      <c r="N18" s="69"/>
      <c r="O18" s="69">
        <v>40.0</v>
      </c>
      <c r="P18" s="69">
        <v>77.0</v>
      </c>
      <c r="Q18" s="69">
        <v>39.0</v>
      </c>
      <c r="R18" s="69">
        <v>106.0</v>
      </c>
      <c r="S18" s="69">
        <v>39.0</v>
      </c>
      <c r="T18" s="69">
        <v>119.0</v>
      </c>
      <c r="U18" s="71">
        <v>84.0</v>
      </c>
      <c r="V18" s="69"/>
      <c r="W18" s="69"/>
      <c r="X18" s="69"/>
      <c r="Y18" s="69"/>
      <c r="Z18" s="69"/>
      <c r="AA18" s="72"/>
      <c r="AB18" s="73"/>
      <c r="AC18" s="73"/>
      <c r="AD18" s="73"/>
      <c r="AE18" s="73"/>
      <c r="AF18" s="73"/>
      <c r="AG18" s="73"/>
      <c r="AH18" s="73"/>
      <c r="AI18" s="73"/>
      <c r="AJ18" s="73"/>
      <c r="AK18" s="73"/>
      <c r="AL18" s="73"/>
      <c r="AM18" s="73"/>
      <c r="AN18" s="73"/>
      <c r="AO18" s="73"/>
    </row>
    <row r="19">
      <c r="A19" s="74" t="s">
        <v>31</v>
      </c>
      <c r="B19" s="75"/>
      <c r="C19" s="74"/>
      <c r="D19" s="74"/>
      <c r="E19" s="74"/>
      <c r="F19" s="74"/>
      <c r="G19" s="74"/>
      <c r="H19" s="74"/>
      <c r="I19" s="74"/>
      <c r="J19" s="74"/>
      <c r="K19" s="74"/>
      <c r="L19" s="74"/>
      <c r="M19" s="74"/>
      <c r="N19" s="74"/>
      <c r="O19" s="74">
        <v>103.0</v>
      </c>
      <c r="P19" s="74">
        <f>13+95</f>
        <v>108</v>
      </c>
      <c r="Q19" s="69">
        <v>54.0</v>
      </c>
      <c r="R19" s="74">
        <v>106.0</v>
      </c>
      <c r="S19" s="74">
        <v>39.0</v>
      </c>
      <c r="T19" s="74">
        <v>119.0</v>
      </c>
      <c r="U19" s="76">
        <v>84.0</v>
      </c>
      <c r="V19" s="74"/>
      <c r="W19" s="74"/>
      <c r="X19" s="74"/>
      <c r="Y19" s="74"/>
      <c r="Z19" s="74"/>
      <c r="AA19" s="77"/>
      <c r="AB19" s="78"/>
      <c r="AC19" s="78"/>
      <c r="AD19" s="78"/>
      <c r="AE19" s="78"/>
      <c r="AF19" s="78"/>
      <c r="AG19" s="78"/>
      <c r="AH19" s="78"/>
      <c r="AI19" s="78"/>
      <c r="AJ19" s="78"/>
      <c r="AK19" s="78"/>
      <c r="AL19" s="78"/>
      <c r="AM19" s="78"/>
      <c r="AN19" s="78"/>
      <c r="AO19" s="78"/>
    </row>
    <row r="20">
      <c r="A20" s="69" t="s">
        <v>32</v>
      </c>
      <c r="B20" s="70"/>
      <c r="C20" s="69"/>
      <c r="D20" s="69"/>
      <c r="E20" s="69"/>
      <c r="F20" s="69"/>
      <c r="G20" s="69"/>
      <c r="H20" s="69"/>
      <c r="I20" s="69"/>
      <c r="J20" s="69"/>
      <c r="K20" s="69"/>
      <c r="L20" s="69"/>
      <c r="M20" s="69"/>
      <c r="N20" s="69"/>
      <c r="O20" s="69">
        <v>35.0</v>
      </c>
      <c r="P20" s="69">
        <v>50.0</v>
      </c>
      <c r="Q20" s="69">
        <v>34.0</v>
      </c>
      <c r="R20" s="69">
        <v>64.0</v>
      </c>
      <c r="S20" s="69">
        <v>10.0</v>
      </c>
      <c r="T20" s="69">
        <v>34.0</v>
      </c>
      <c r="U20" s="71">
        <v>7.0</v>
      </c>
      <c r="V20" s="69"/>
      <c r="W20" s="69"/>
      <c r="X20" s="69"/>
      <c r="Y20" s="69"/>
      <c r="Z20" s="69"/>
      <c r="AA20" s="72"/>
      <c r="AB20" s="73"/>
      <c r="AC20" s="73"/>
      <c r="AD20" s="73"/>
      <c r="AE20" s="73"/>
      <c r="AF20" s="73"/>
      <c r="AG20" s="73"/>
      <c r="AH20" s="73"/>
      <c r="AI20" s="73"/>
      <c r="AJ20" s="73"/>
      <c r="AK20" s="73"/>
      <c r="AL20" s="73"/>
      <c r="AM20" s="73"/>
      <c r="AN20" s="73"/>
      <c r="AO20" s="73"/>
    </row>
    <row r="21">
      <c r="A21" s="79" t="s">
        <v>33</v>
      </c>
      <c r="B21" s="80"/>
      <c r="C21" s="80"/>
      <c r="D21" s="80"/>
      <c r="E21" s="80"/>
      <c r="F21" s="79"/>
      <c r="G21" s="79"/>
      <c r="H21" s="79"/>
      <c r="I21" s="79"/>
      <c r="J21" s="79"/>
      <c r="K21" s="79"/>
      <c r="L21" s="79"/>
      <c r="M21" s="79"/>
      <c r="N21" s="79"/>
      <c r="O21" s="79">
        <v>26.0</v>
      </c>
      <c r="P21" s="79">
        <v>29.0</v>
      </c>
      <c r="Q21" s="79">
        <v>26.0</v>
      </c>
      <c r="R21" s="79">
        <v>18.0</v>
      </c>
      <c r="S21" s="79">
        <f>S8-S19</f>
        <v>64</v>
      </c>
      <c r="T21" s="81">
        <v>26.0</v>
      </c>
      <c r="U21" s="79"/>
      <c r="V21" s="79"/>
      <c r="W21" s="79"/>
      <c r="X21" s="79"/>
      <c r="Y21" s="79"/>
      <c r="Z21" s="79"/>
      <c r="AA21" s="79"/>
    </row>
    <row r="22">
      <c r="A22" s="82" t="s">
        <v>34</v>
      </c>
      <c r="B22" s="83"/>
      <c r="C22" s="83"/>
      <c r="D22" s="84"/>
      <c r="E22" s="84"/>
      <c r="F22" s="84"/>
      <c r="G22" s="84"/>
      <c r="H22" s="84"/>
      <c r="I22" s="84"/>
      <c r="J22" s="84"/>
      <c r="K22" s="84"/>
      <c r="L22" s="84"/>
      <c r="M22" s="84"/>
      <c r="N22" s="84"/>
      <c r="O22" s="84">
        <f>116-63-13</f>
        <v>40</v>
      </c>
      <c r="P22" s="84">
        <f>P8-18-13</f>
        <v>77</v>
      </c>
      <c r="Q22" s="84">
        <v>49.0</v>
      </c>
      <c r="R22" s="85">
        <v>102.0</v>
      </c>
      <c r="S22" s="85">
        <v>103.0</v>
      </c>
      <c r="T22" s="85">
        <v>119.0</v>
      </c>
      <c r="U22" s="86">
        <v>50.0</v>
      </c>
      <c r="V22" s="85"/>
      <c r="W22" s="85"/>
      <c r="X22" s="85"/>
      <c r="Y22" s="85"/>
      <c r="Z22" s="85"/>
      <c r="AA22" s="87"/>
      <c r="AB22" s="87"/>
      <c r="AC22" s="88"/>
      <c r="AD22" s="88"/>
      <c r="AE22" s="88"/>
      <c r="AF22" s="88"/>
      <c r="AG22" s="88"/>
      <c r="AH22" s="88"/>
      <c r="AI22" s="88"/>
      <c r="AJ22" s="88"/>
      <c r="AK22" s="88"/>
      <c r="AL22" s="88"/>
      <c r="AM22" s="89"/>
      <c r="AN22" s="88"/>
      <c r="AO22" s="88"/>
    </row>
    <row r="23">
      <c r="A23" s="90" t="s">
        <v>35</v>
      </c>
      <c r="B23" s="91"/>
      <c r="C23" s="92"/>
      <c r="D23" s="91"/>
      <c r="E23" s="92"/>
      <c r="F23" s="91"/>
      <c r="G23" s="91"/>
      <c r="H23" s="91"/>
      <c r="I23" s="91"/>
      <c r="J23" s="91"/>
      <c r="K23" s="91"/>
      <c r="L23" s="91"/>
      <c r="M23" s="91"/>
      <c r="N23" s="91"/>
      <c r="O23" s="397" t="s">
        <v>1109</v>
      </c>
      <c r="P23" s="397" t="s">
        <v>1110</v>
      </c>
      <c r="Q23" s="396" t="s">
        <v>1111</v>
      </c>
      <c r="R23" s="396" t="s">
        <v>1112</v>
      </c>
      <c r="S23" s="396" t="s">
        <v>1113</v>
      </c>
      <c r="T23" s="397" t="s">
        <v>1114</v>
      </c>
      <c r="U23" s="398" t="s">
        <v>1115</v>
      </c>
      <c r="V23" s="91"/>
      <c r="W23" s="91"/>
      <c r="X23" s="91"/>
      <c r="Y23" s="91"/>
      <c r="Z23" s="91"/>
      <c r="AA23" s="91"/>
      <c r="AB23" s="94"/>
      <c r="AC23" s="95"/>
      <c r="AD23" s="95"/>
      <c r="AE23" s="95"/>
      <c r="AF23" s="95"/>
      <c r="AG23" s="95"/>
      <c r="AH23" s="95"/>
      <c r="AI23" s="95"/>
      <c r="AJ23" s="95"/>
      <c r="AK23" s="95"/>
      <c r="AL23" s="95"/>
      <c r="AM23" s="95"/>
      <c r="AN23" s="95"/>
      <c r="AO23" s="95"/>
    </row>
    <row r="24">
      <c r="A24" s="96" t="s">
        <v>36</v>
      </c>
      <c r="B24" s="97">
        <v>0.0</v>
      </c>
      <c r="C24" s="98">
        <v>0.0</v>
      </c>
      <c r="D24" s="98">
        <v>0.0</v>
      </c>
      <c r="E24" s="98">
        <v>0.0</v>
      </c>
      <c r="F24" s="98">
        <v>0.0</v>
      </c>
      <c r="G24" s="98">
        <v>0.0</v>
      </c>
      <c r="H24" s="98">
        <v>0.0</v>
      </c>
      <c r="I24" s="98">
        <v>0.0</v>
      </c>
      <c r="J24" s="98">
        <v>0.0</v>
      </c>
      <c r="K24" s="98">
        <v>0.0</v>
      </c>
      <c r="L24" s="98">
        <v>0.0</v>
      </c>
      <c r="M24" s="98">
        <v>0.0</v>
      </c>
      <c r="N24" s="98">
        <v>0.0</v>
      </c>
      <c r="O24" s="97">
        <v>1.0</v>
      </c>
      <c r="P24" s="97">
        <v>1.0</v>
      </c>
      <c r="Q24" s="98">
        <v>0.0</v>
      </c>
      <c r="R24" s="97">
        <v>0.0</v>
      </c>
      <c r="S24" s="98">
        <v>0.0</v>
      </c>
      <c r="T24" s="97">
        <v>1.0</v>
      </c>
      <c r="U24" s="98">
        <v>0.0</v>
      </c>
      <c r="V24" s="98">
        <v>0.0</v>
      </c>
      <c r="W24" s="98">
        <v>0.0</v>
      </c>
      <c r="X24" s="98">
        <v>0.0</v>
      </c>
      <c r="Y24" s="98">
        <v>0.0</v>
      </c>
      <c r="Z24" s="98">
        <v>0.0</v>
      </c>
      <c r="AA24" s="98">
        <v>0.0</v>
      </c>
      <c r="AB24" s="99"/>
      <c r="AC24" s="100"/>
      <c r="AD24" s="100"/>
      <c r="AE24" s="100"/>
      <c r="AF24" s="100"/>
      <c r="AG24" s="100"/>
      <c r="AH24" s="100"/>
      <c r="AI24" s="100"/>
      <c r="AJ24" s="100"/>
      <c r="AK24" s="100"/>
      <c r="AL24" s="100"/>
      <c r="AM24" s="100"/>
      <c r="AN24" s="100"/>
      <c r="AO24" s="100"/>
    </row>
    <row r="25">
      <c r="A25" s="101" t="s">
        <v>37</v>
      </c>
      <c r="B25" s="102">
        <f>IFERROR(B18/B7, 0)</f>
        <v>0</v>
      </c>
      <c r="C25" s="103"/>
      <c r="D25" s="103"/>
      <c r="E25" s="103"/>
      <c r="F25" s="103"/>
      <c r="G25" s="103"/>
      <c r="H25" s="103"/>
      <c r="I25" s="103"/>
      <c r="J25" s="103"/>
      <c r="K25" s="103"/>
      <c r="L25" s="103"/>
      <c r="M25" s="103"/>
      <c r="N25" s="103"/>
      <c r="O25" s="102">
        <f t="shared" ref="O25:U25" si="1">IFERROR(O19/O8, 0)</f>
        <v>0.8879310345</v>
      </c>
      <c r="P25" s="102">
        <f t="shared" si="1"/>
        <v>1</v>
      </c>
      <c r="Q25" s="102">
        <f t="shared" si="1"/>
        <v>0.6923076923</v>
      </c>
      <c r="R25" s="102">
        <f t="shared" si="1"/>
        <v>0.9217391304</v>
      </c>
      <c r="S25" s="102">
        <f t="shared" si="1"/>
        <v>0.3786407767</v>
      </c>
      <c r="T25" s="102">
        <f t="shared" si="1"/>
        <v>1</v>
      </c>
      <c r="U25" s="102">
        <f t="shared" si="1"/>
        <v>0.7433628319</v>
      </c>
      <c r="V25" s="103"/>
      <c r="W25" s="103"/>
      <c r="X25" s="103"/>
      <c r="Y25" s="103"/>
      <c r="Z25" s="103"/>
      <c r="AA25" s="103"/>
    </row>
    <row r="26">
      <c r="A26" s="105" t="s">
        <v>38</v>
      </c>
      <c r="B26" s="106">
        <f>IFERROR(B12/B18, 0)</f>
        <v>0</v>
      </c>
      <c r="C26" s="107"/>
      <c r="D26" s="107"/>
      <c r="E26" s="107"/>
      <c r="F26" s="107"/>
      <c r="G26" s="107"/>
      <c r="H26" s="107"/>
      <c r="I26" s="107"/>
      <c r="J26" s="107"/>
      <c r="K26" s="107"/>
      <c r="L26" s="107"/>
      <c r="M26" s="107"/>
      <c r="N26" s="107"/>
      <c r="O26" s="106">
        <f t="shared" ref="O26:U26" si="2">IFERROR(O12/O18, 0)</f>
        <v>0.2</v>
      </c>
      <c r="P26" s="106">
        <f t="shared" si="2"/>
        <v>0.03896103896</v>
      </c>
      <c r="Q26" s="106">
        <f t="shared" si="2"/>
        <v>0</v>
      </c>
      <c r="R26" s="106">
        <f t="shared" si="2"/>
        <v>0.01886792453</v>
      </c>
      <c r="S26" s="106">
        <f t="shared" si="2"/>
        <v>0.2307692308</v>
      </c>
      <c r="T26" s="106">
        <f t="shared" si="2"/>
        <v>0.0756302521</v>
      </c>
      <c r="U26" s="106">
        <f t="shared" si="2"/>
        <v>0.4642857143</v>
      </c>
      <c r="V26" s="107"/>
      <c r="W26" s="107"/>
      <c r="X26" s="107"/>
      <c r="Y26" s="107"/>
      <c r="Z26" s="107"/>
      <c r="AA26" s="107"/>
    </row>
    <row r="27">
      <c r="A27" s="109" t="s">
        <v>39</v>
      </c>
      <c r="B27" s="110">
        <f>IFERROR(B20/B18, 0)</f>
        <v>0</v>
      </c>
      <c r="C27" s="110"/>
      <c r="D27" s="110"/>
      <c r="E27" s="110"/>
      <c r="F27" s="110"/>
      <c r="G27" s="110"/>
      <c r="H27" s="110"/>
      <c r="I27" s="110"/>
      <c r="J27" s="110"/>
      <c r="K27" s="110"/>
      <c r="L27" s="110"/>
      <c r="M27" s="110"/>
      <c r="N27" s="110"/>
      <c r="O27" s="110">
        <f t="shared" ref="O27:X27" si="3">IFERROR(O20/O18, 0)</f>
        <v>0.875</v>
      </c>
      <c r="P27" s="110">
        <f t="shared" si="3"/>
        <v>0.6493506494</v>
      </c>
      <c r="Q27" s="110">
        <f t="shared" si="3"/>
        <v>0.8717948718</v>
      </c>
      <c r="R27" s="110">
        <f t="shared" si="3"/>
        <v>0.6037735849</v>
      </c>
      <c r="S27" s="110">
        <f t="shared" si="3"/>
        <v>0.2564102564</v>
      </c>
      <c r="T27" s="110">
        <f t="shared" si="3"/>
        <v>0.2857142857</v>
      </c>
      <c r="U27" s="110">
        <f t="shared" si="3"/>
        <v>0.08333333333</v>
      </c>
      <c r="V27" s="110">
        <f t="shared" si="3"/>
        <v>0</v>
      </c>
      <c r="W27" s="110">
        <f t="shared" si="3"/>
        <v>0</v>
      </c>
      <c r="X27" s="110">
        <f t="shared" si="3"/>
        <v>0</v>
      </c>
      <c r="Y27" s="110"/>
      <c r="Z27" s="110"/>
      <c r="AA27" s="110"/>
      <c r="AB27" s="112"/>
      <c r="AC27" s="113"/>
      <c r="AD27" s="113"/>
      <c r="AE27" s="113"/>
      <c r="AF27" s="113"/>
      <c r="AG27" s="113"/>
      <c r="AH27" s="113"/>
      <c r="AI27" s="113"/>
      <c r="AJ27" s="113"/>
      <c r="AK27" s="113"/>
      <c r="AL27" s="113"/>
      <c r="AM27" s="113"/>
      <c r="AN27" s="113"/>
      <c r="AO27" s="113"/>
    </row>
    <row r="28">
      <c r="A28" s="114" t="s">
        <v>40</v>
      </c>
      <c r="B28" s="115"/>
      <c r="C28" s="115"/>
      <c r="D28" s="115"/>
      <c r="E28" s="115"/>
      <c r="F28" s="115"/>
      <c r="G28" s="115"/>
      <c r="H28" s="115"/>
      <c r="I28" s="115"/>
      <c r="J28" s="115"/>
      <c r="K28" s="115"/>
      <c r="L28" s="115"/>
      <c r="M28" s="115"/>
      <c r="N28" s="115"/>
      <c r="O28" s="115">
        <f t="shared" ref="O28:U28" si="4">O22/O8</f>
        <v>0.3448275862</v>
      </c>
      <c r="P28" s="115">
        <f t="shared" si="4"/>
        <v>0.712962963</v>
      </c>
      <c r="Q28" s="115">
        <f t="shared" si="4"/>
        <v>0.6282051282</v>
      </c>
      <c r="R28" s="115">
        <f t="shared" si="4"/>
        <v>0.8869565217</v>
      </c>
      <c r="S28" s="115">
        <f t="shared" si="4"/>
        <v>1</v>
      </c>
      <c r="T28" s="115">
        <f t="shared" si="4"/>
        <v>1</v>
      </c>
      <c r="U28" s="115">
        <f t="shared" si="4"/>
        <v>0.4424778761</v>
      </c>
      <c r="V28" s="115"/>
      <c r="W28" s="115"/>
      <c r="X28" s="115"/>
      <c r="Y28" s="115"/>
      <c r="Z28" s="115"/>
      <c r="AA28" s="115"/>
      <c r="AB28" s="112"/>
      <c r="AC28" s="113"/>
      <c r="AD28" s="113"/>
      <c r="AE28" s="113"/>
      <c r="AF28" s="113"/>
      <c r="AG28" s="113"/>
      <c r="AH28" s="113"/>
      <c r="AI28" s="113"/>
      <c r="AJ28" s="113"/>
      <c r="AK28" s="113"/>
      <c r="AL28" s="113"/>
      <c r="AM28" s="113"/>
      <c r="AN28" s="113"/>
      <c r="AO28" s="113"/>
    </row>
    <row r="29">
      <c r="A29" s="671" t="s">
        <v>976</v>
      </c>
      <c r="B29" s="672"/>
      <c r="C29" s="672"/>
      <c r="D29" s="672"/>
      <c r="E29" s="672"/>
      <c r="F29" s="672"/>
      <c r="G29" s="672"/>
      <c r="H29" s="672"/>
      <c r="I29" s="672"/>
      <c r="J29" s="672"/>
      <c r="K29" s="672"/>
      <c r="L29" s="672"/>
      <c r="M29" s="672"/>
      <c r="N29" s="672"/>
      <c r="O29" s="672">
        <f t="shared" ref="O29:U29" si="5">O12/O8</f>
        <v>0.06896551724</v>
      </c>
      <c r="P29" s="672">
        <f t="shared" si="5"/>
        <v>0.02777777778</v>
      </c>
      <c r="Q29" s="672">
        <f t="shared" si="5"/>
        <v>0</v>
      </c>
      <c r="R29" s="672">
        <f t="shared" si="5"/>
        <v>0.01739130435</v>
      </c>
      <c r="S29" s="672">
        <f t="shared" si="5"/>
        <v>0.08737864078</v>
      </c>
      <c r="T29" s="672">
        <f t="shared" si="5"/>
        <v>0.0756302521</v>
      </c>
      <c r="U29" s="672">
        <f t="shared" si="5"/>
        <v>0.3451327434</v>
      </c>
      <c r="V29" s="672"/>
      <c r="W29" s="672"/>
      <c r="X29" s="672"/>
      <c r="Y29" s="672"/>
      <c r="Z29" s="672"/>
      <c r="AA29" s="672"/>
      <c r="AB29" s="673"/>
      <c r="AC29" s="674"/>
      <c r="AD29" s="674"/>
      <c r="AE29" s="674"/>
      <c r="AF29" s="674"/>
      <c r="AG29" s="674"/>
      <c r="AH29" s="674"/>
      <c r="AI29" s="674"/>
      <c r="AJ29" s="674"/>
      <c r="AK29" s="674"/>
      <c r="AL29" s="674"/>
      <c r="AM29" s="674"/>
      <c r="AN29" s="674"/>
      <c r="AO29" s="674"/>
    </row>
    <row r="30">
      <c r="A30" s="117" t="s">
        <v>41</v>
      </c>
      <c r="B30" s="118"/>
      <c r="C30" s="119"/>
      <c r="D30" s="119"/>
      <c r="E30" s="119"/>
      <c r="F30" s="119"/>
      <c r="G30" s="119"/>
      <c r="H30" s="119"/>
      <c r="I30" s="119"/>
      <c r="J30" s="119"/>
      <c r="K30" s="119"/>
      <c r="L30" s="119"/>
      <c r="M30" s="119"/>
      <c r="N30" s="119"/>
      <c r="O30" s="119"/>
      <c r="P30" s="119"/>
      <c r="Q30" s="119"/>
      <c r="R30" s="119"/>
      <c r="S30" s="119"/>
      <c r="T30" s="119"/>
      <c r="U30" s="120"/>
      <c r="V30" s="119"/>
      <c r="W30" s="119"/>
      <c r="X30" s="119"/>
      <c r="Y30" s="119"/>
      <c r="Z30" s="119"/>
      <c r="AA30" s="119"/>
      <c r="AB30" s="121"/>
      <c r="AC30" s="121"/>
      <c r="AD30" s="121"/>
      <c r="AE30" s="121"/>
      <c r="AF30" s="121"/>
      <c r="AG30" s="99"/>
      <c r="AH30" s="99"/>
      <c r="AI30" s="99"/>
      <c r="AJ30" s="99"/>
      <c r="AK30" s="99"/>
      <c r="AL30" s="99"/>
      <c r="AM30" s="99"/>
      <c r="AN30" s="99"/>
      <c r="AO30" s="99"/>
    </row>
    <row r="31">
      <c r="A31" s="184" t="s">
        <v>141</v>
      </c>
      <c r="B31" s="240"/>
      <c r="C31" s="240"/>
      <c r="D31" s="240"/>
      <c r="E31" s="240"/>
      <c r="F31" s="240"/>
      <c r="G31" s="240"/>
      <c r="H31" s="240"/>
      <c r="I31" s="240"/>
      <c r="J31" s="240"/>
      <c r="K31" s="240"/>
      <c r="L31" s="240"/>
      <c r="M31" s="240"/>
      <c r="N31" s="240"/>
      <c r="O31" s="185">
        <f t="shared" ref="O31:AA31" si="6">O54/8</f>
        <v>0</v>
      </c>
      <c r="P31" s="185">
        <f t="shared" si="6"/>
        <v>0</v>
      </c>
      <c r="Q31" s="185">
        <f t="shared" si="6"/>
        <v>0</v>
      </c>
      <c r="R31" s="185">
        <f t="shared" si="6"/>
        <v>0</v>
      </c>
      <c r="S31" s="185">
        <f t="shared" si="6"/>
        <v>0</v>
      </c>
      <c r="T31" s="185">
        <f t="shared" si="6"/>
        <v>0</v>
      </c>
      <c r="U31" s="185">
        <f t="shared" si="6"/>
        <v>0</v>
      </c>
      <c r="V31" s="185">
        <f t="shared" si="6"/>
        <v>0</v>
      </c>
      <c r="W31" s="185">
        <f t="shared" si="6"/>
        <v>0</v>
      </c>
      <c r="X31" s="185">
        <f t="shared" si="6"/>
        <v>0</v>
      </c>
      <c r="Y31" s="185">
        <f t="shared" si="6"/>
        <v>0</v>
      </c>
      <c r="Z31" s="185">
        <f t="shared" si="6"/>
        <v>0</v>
      </c>
      <c r="AA31" s="185">
        <f t="shared" si="6"/>
        <v>0</v>
      </c>
      <c r="AB31" s="240"/>
      <c r="AC31" s="186"/>
      <c r="AD31" s="186"/>
      <c r="AE31" s="186"/>
      <c r="AF31" s="186"/>
      <c r="AG31" s="186"/>
      <c r="AH31" s="186"/>
      <c r="AI31" s="186"/>
      <c r="AJ31" s="186"/>
      <c r="AK31" s="186"/>
      <c r="AL31" s="186"/>
      <c r="AM31" s="186"/>
      <c r="AN31" s="186"/>
      <c r="AO31" s="186"/>
    </row>
    <row r="32">
      <c r="A32" s="96" t="s">
        <v>42</v>
      </c>
      <c r="B32" s="97">
        <v>0.0</v>
      </c>
      <c r="C32" s="98">
        <v>0.0</v>
      </c>
      <c r="D32" s="98">
        <v>0.0</v>
      </c>
      <c r="E32" s="98">
        <v>0.0</v>
      </c>
      <c r="F32" s="98">
        <v>0.0</v>
      </c>
      <c r="G32" s="98">
        <v>0.0</v>
      </c>
      <c r="H32" s="98">
        <v>0.0</v>
      </c>
      <c r="I32" s="98">
        <v>0.0</v>
      </c>
      <c r="J32" s="98">
        <v>0.0</v>
      </c>
      <c r="K32" s="98">
        <v>0.0</v>
      </c>
      <c r="L32" s="98">
        <v>0.0</v>
      </c>
      <c r="M32" s="98">
        <v>0.0</v>
      </c>
      <c r="N32" s="98">
        <v>0.0</v>
      </c>
      <c r="O32" s="97">
        <v>0.54</v>
      </c>
      <c r="P32" s="98">
        <f>48/P8</f>
        <v>0.4444444444</v>
      </c>
      <c r="Q32" s="97">
        <v>0.6</v>
      </c>
      <c r="R32" s="98">
        <f>79/115</f>
        <v>0.6869565217</v>
      </c>
      <c r="S32" s="98">
        <f>93/103</f>
        <v>0.9029126214</v>
      </c>
      <c r="T32" s="97">
        <v>0.77</v>
      </c>
      <c r="U32" s="97">
        <v>0.35</v>
      </c>
      <c r="V32" s="97">
        <v>0.37</v>
      </c>
      <c r="W32" s="98">
        <v>0.0</v>
      </c>
      <c r="X32" s="98">
        <v>0.0</v>
      </c>
      <c r="Y32" s="98">
        <v>0.0</v>
      </c>
      <c r="Z32" s="98">
        <v>0.0</v>
      </c>
      <c r="AA32" s="98">
        <v>0.0</v>
      </c>
      <c r="AB32" s="122"/>
      <c r="AC32" s="121"/>
      <c r="AD32" s="121"/>
      <c r="AE32" s="121"/>
      <c r="AF32" s="121"/>
      <c r="AG32" s="99"/>
      <c r="AH32" s="99"/>
      <c r="AI32" s="99"/>
      <c r="AJ32" s="99"/>
      <c r="AK32" s="99"/>
      <c r="AL32" s="99"/>
      <c r="AM32" s="99"/>
      <c r="AN32" s="99"/>
      <c r="AO32" s="99"/>
    </row>
    <row r="33">
      <c r="A33" s="123" t="s">
        <v>43</v>
      </c>
      <c r="B33" s="97">
        <v>0.0</v>
      </c>
      <c r="C33" s="97">
        <v>0.0</v>
      </c>
      <c r="D33" s="97">
        <v>0.0</v>
      </c>
      <c r="E33" s="97">
        <v>0.0</v>
      </c>
      <c r="F33" s="97">
        <v>0.0</v>
      </c>
      <c r="G33" s="97">
        <v>0.0</v>
      </c>
      <c r="H33" s="97">
        <v>0.0</v>
      </c>
      <c r="I33" s="97">
        <v>0.0</v>
      </c>
      <c r="J33" s="97">
        <v>0.0</v>
      </c>
      <c r="K33" s="97">
        <v>0.0</v>
      </c>
      <c r="L33" s="97">
        <v>0.0</v>
      </c>
      <c r="M33" s="97">
        <v>0.0</v>
      </c>
      <c r="N33" s="97">
        <v>0.0</v>
      </c>
      <c r="O33" s="97">
        <v>1.0</v>
      </c>
      <c r="P33" s="97">
        <v>1.0</v>
      </c>
      <c r="Q33" s="97">
        <v>1.0</v>
      </c>
      <c r="R33" s="97">
        <v>1.0</v>
      </c>
      <c r="S33" s="97">
        <v>1.0</v>
      </c>
      <c r="T33" s="97">
        <v>1.0</v>
      </c>
      <c r="U33" s="97">
        <v>0.0</v>
      </c>
      <c r="V33" s="97">
        <v>1.0</v>
      </c>
      <c r="W33" s="97">
        <v>0.0</v>
      </c>
      <c r="X33" s="97">
        <v>0.0</v>
      </c>
      <c r="Y33" s="97">
        <v>0.0</v>
      </c>
      <c r="Z33" s="97">
        <v>0.0</v>
      </c>
      <c r="AA33" s="97">
        <v>0.0</v>
      </c>
      <c r="AB33" s="124"/>
      <c r="AC33" s="121"/>
      <c r="AD33" s="121"/>
      <c r="AE33" s="121"/>
      <c r="AF33" s="121"/>
      <c r="AG33" s="99"/>
      <c r="AH33" s="99"/>
      <c r="AI33" s="99"/>
      <c r="AJ33" s="99"/>
      <c r="AK33" s="99"/>
      <c r="AL33" s="99"/>
      <c r="AM33" s="99"/>
      <c r="AN33" s="99"/>
      <c r="AO33" s="99"/>
    </row>
    <row r="34">
      <c r="A34" s="96" t="s">
        <v>44</v>
      </c>
      <c r="B34" s="125">
        <f t="shared" ref="B34:AA34" si="7">(B24*0.7) + (IF(B32 &gt;= 30%, 1, 0)*0.15) + (B33*0.15)</f>
        <v>0</v>
      </c>
      <c r="C34" s="125">
        <f t="shared" si="7"/>
        <v>0</v>
      </c>
      <c r="D34" s="125">
        <f t="shared" si="7"/>
        <v>0</v>
      </c>
      <c r="E34" s="125">
        <f t="shared" si="7"/>
        <v>0</v>
      </c>
      <c r="F34" s="125">
        <f t="shared" si="7"/>
        <v>0</v>
      </c>
      <c r="G34" s="125">
        <f t="shared" si="7"/>
        <v>0</v>
      </c>
      <c r="H34" s="125">
        <f t="shared" si="7"/>
        <v>0</v>
      </c>
      <c r="I34" s="125">
        <f t="shared" si="7"/>
        <v>0</v>
      </c>
      <c r="J34" s="125">
        <f t="shared" si="7"/>
        <v>0</v>
      </c>
      <c r="K34" s="125">
        <f t="shared" si="7"/>
        <v>0</v>
      </c>
      <c r="L34" s="125">
        <f t="shared" si="7"/>
        <v>0</v>
      </c>
      <c r="M34" s="125">
        <f t="shared" si="7"/>
        <v>0</v>
      </c>
      <c r="N34" s="125">
        <f t="shared" si="7"/>
        <v>0</v>
      </c>
      <c r="O34" s="125">
        <f t="shared" si="7"/>
        <v>1</v>
      </c>
      <c r="P34" s="125">
        <f t="shared" si="7"/>
        <v>1</v>
      </c>
      <c r="Q34" s="125">
        <f t="shared" si="7"/>
        <v>0.3</v>
      </c>
      <c r="R34" s="125">
        <f t="shared" si="7"/>
        <v>0.3</v>
      </c>
      <c r="S34" s="125">
        <f t="shared" si="7"/>
        <v>0.3</v>
      </c>
      <c r="T34" s="125">
        <f t="shared" si="7"/>
        <v>1</v>
      </c>
      <c r="U34" s="125">
        <f t="shared" si="7"/>
        <v>0.15</v>
      </c>
      <c r="V34" s="125">
        <f t="shared" si="7"/>
        <v>0.3</v>
      </c>
      <c r="W34" s="125">
        <f t="shared" si="7"/>
        <v>0</v>
      </c>
      <c r="X34" s="125">
        <f t="shared" si="7"/>
        <v>0</v>
      </c>
      <c r="Y34" s="125">
        <f t="shared" si="7"/>
        <v>0</v>
      </c>
      <c r="Z34" s="125">
        <f t="shared" si="7"/>
        <v>0</v>
      </c>
      <c r="AA34" s="125">
        <f t="shared" si="7"/>
        <v>0</v>
      </c>
    </row>
    <row r="35">
      <c r="A35" s="193" t="s">
        <v>142</v>
      </c>
      <c r="B35" s="125"/>
      <c r="C35" s="125"/>
      <c r="D35" s="125"/>
      <c r="E35" s="125"/>
      <c r="F35" s="125"/>
      <c r="G35" s="125"/>
      <c r="H35" s="125"/>
      <c r="I35" s="125"/>
      <c r="J35" s="125"/>
      <c r="K35" s="125"/>
      <c r="L35" s="125"/>
      <c r="M35" s="125"/>
      <c r="N35" s="125"/>
      <c r="O35" s="125">
        <v>1.0</v>
      </c>
      <c r="P35" s="125">
        <v>1.0</v>
      </c>
      <c r="Q35" s="125">
        <v>0.3</v>
      </c>
      <c r="R35" s="125">
        <v>0.3</v>
      </c>
      <c r="S35" s="125">
        <v>0.3</v>
      </c>
      <c r="T35" s="125">
        <v>1.0</v>
      </c>
      <c r="U35" s="125"/>
      <c r="V35" s="125"/>
      <c r="W35" s="125"/>
      <c r="X35" s="125"/>
      <c r="Y35" s="125"/>
      <c r="Z35" s="125"/>
      <c r="AA35" s="125"/>
    </row>
    <row r="36">
      <c r="A36" s="126" t="s">
        <v>45</v>
      </c>
      <c r="B36" s="127" t="s">
        <v>989</v>
      </c>
      <c r="C36" s="128" t="s">
        <v>989</v>
      </c>
      <c r="D36" s="128" t="s">
        <v>989</v>
      </c>
      <c r="E36" s="128" t="s">
        <v>989</v>
      </c>
      <c r="F36" s="128" t="s">
        <v>989</v>
      </c>
      <c r="G36" s="128" t="s">
        <v>989</v>
      </c>
      <c r="H36" s="128" t="s">
        <v>989</v>
      </c>
      <c r="I36" s="128" t="s">
        <v>989</v>
      </c>
      <c r="J36" s="128" t="s">
        <v>989</v>
      </c>
      <c r="K36" s="128" t="s">
        <v>989</v>
      </c>
      <c r="L36" s="128" t="s">
        <v>989</v>
      </c>
      <c r="M36" s="128" t="s">
        <v>989</v>
      </c>
      <c r="N36" s="128" t="s">
        <v>989</v>
      </c>
      <c r="O36" s="128" t="s">
        <v>989</v>
      </c>
      <c r="P36" s="128" t="s">
        <v>989</v>
      </c>
      <c r="Q36" s="128" t="s">
        <v>989</v>
      </c>
      <c r="R36" s="128" t="s">
        <v>989</v>
      </c>
      <c r="S36" s="128" t="s">
        <v>989</v>
      </c>
      <c r="T36" s="128" t="s">
        <v>989</v>
      </c>
      <c r="U36" s="129" t="s">
        <v>989</v>
      </c>
      <c r="V36" s="128" t="s">
        <v>989</v>
      </c>
      <c r="W36" s="128" t="s">
        <v>989</v>
      </c>
      <c r="X36" s="128" t="s">
        <v>989</v>
      </c>
      <c r="Y36" s="128" t="s">
        <v>989</v>
      </c>
      <c r="Z36" s="128" t="s">
        <v>989</v>
      </c>
      <c r="AA36" s="128" t="s">
        <v>989</v>
      </c>
      <c r="AB36" s="128"/>
      <c r="AC36" s="128"/>
      <c r="AD36" s="130"/>
      <c r="AE36" s="130"/>
      <c r="AF36" s="130"/>
      <c r="AG36" s="130"/>
      <c r="AH36" s="130"/>
      <c r="AI36" s="130"/>
      <c r="AJ36" s="130"/>
      <c r="AK36" s="130"/>
      <c r="AL36" s="130"/>
      <c r="AM36" s="130"/>
      <c r="AN36" s="130"/>
      <c r="AO36" s="130"/>
    </row>
    <row r="37">
      <c r="A37" s="131" t="s">
        <v>1083</v>
      </c>
      <c r="B37" s="132"/>
      <c r="C37" s="130"/>
      <c r="D37" s="130"/>
      <c r="E37" s="130"/>
      <c r="F37" s="130"/>
      <c r="G37" s="130"/>
      <c r="H37" s="130"/>
      <c r="I37" s="130"/>
      <c r="J37" s="130"/>
      <c r="K37" s="130"/>
      <c r="L37" s="130"/>
      <c r="M37" s="130"/>
      <c r="N37" s="130"/>
      <c r="O37" s="133">
        <v>45.0</v>
      </c>
      <c r="P37" s="133">
        <v>39.0</v>
      </c>
      <c r="Q37" s="133">
        <v>8.0</v>
      </c>
      <c r="R37" s="133">
        <v>39.0</v>
      </c>
      <c r="S37" s="133">
        <v>44.0</v>
      </c>
      <c r="T37" s="133">
        <v>45.0</v>
      </c>
      <c r="U37" s="134">
        <v>43.0</v>
      </c>
      <c r="V37" s="133">
        <v>46.0</v>
      </c>
      <c r="W37" s="133"/>
      <c r="X37" s="133"/>
      <c r="Y37" s="133"/>
      <c r="Z37" s="133"/>
      <c r="AA37" s="133"/>
      <c r="AB37" s="133"/>
      <c r="AC37" s="130"/>
      <c r="AD37" s="130"/>
      <c r="AE37" s="130"/>
      <c r="AF37" s="130"/>
      <c r="AG37" s="130"/>
      <c r="AH37" s="130"/>
      <c r="AI37" s="130"/>
      <c r="AJ37" s="130"/>
      <c r="AK37" s="130"/>
      <c r="AL37" s="130"/>
      <c r="AM37" s="130"/>
      <c r="AN37" s="130"/>
      <c r="AO37" s="130"/>
    </row>
    <row r="38">
      <c r="A38" s="131" t="s">
        <v>1116</v>
      </c>
      <c r="B38" s="132"/>
      <c r="C38" s="133"/>
      <c r="D38" s="130"/>
      <c r="E38" s="130"/>
      <c r="F38" s="130"/>
      <c r="G38" s="130"/>
      <c r="H38" s="130"/>
      <c r="I38" s="130"/>
      <c r="J38" s="130"/>
      <c r="K38" s="130"/>
      <c r="L38" s="130"/>
      <c r="M38" s="130"/>
      <c r="N38" s="130"/>
      <c r="O38" s="133">
        <v>52.0</v>
      </c>
      <c r="P38" s="133">
        <v>48.0</v>
      </c>
      <c r="Q38" s="199">
        <v>44.0</v>
      </c>
      <c r="R38" s="133">
        <v>47.0</v>
      </c>
      <c r="S38" s="133">
        <v>37.0</v>
      </c>
      <c r="T38" s="133">
        <v>48.0</v>
      </c>
      <c r="U38" s="134">
        <v>40.0</v>
      </c>
      <c r="V38" s="133">
        <v>44.0</v>
      </c>
      <c r="W38" s="130"/>
      <c r="X38" s="130"/>
      <c r="Y38" s="130"/>
      <c r="Z38" s="130"/>
      <c r="AA38" s="130"/>
      <c r="AB38" s="130"/>
      <c r="AC38" s="130"/>
      <c r="AD38" s="130"/>
      <c r="AE38" s="130"/>
      <c r="AF38" s="130"/>
      <c r="AG38" s="130"/>
      <c r="AH38" s="130"/>
      <c r="AI38" s="130"/>
      <c r="AJ38" s="130"/>
      <c r="AK38" s="130"/>
      <c r="AL38" s="130"/>
      <c r="AM38" s="130"/>
      <c r="AN38" s="130"/>
      <c r="AO38" s="130"/>
    </row>
    <row r="39">
      <c r="A39" s="131" t="s">
        <v>1117</v>
      </c>
      <c r="B39" s="132"/>
      <c r="C39" s="133"/>
      <c r="D39" s="130"/>
      <c r="E39" s="130"/>
      <c r="F39" s="130"/>
      <c r="G39" s="130"/>
      <c r="H39" s="130"/>
      <c r="I39" s="130"/>
      <c r="J39" s="130"/>
      <c r="K39" s="130"/>
      <c r="L39" s="130"/>
      <c r="M39" s="130"/>
      <c r="N39" s="130"/>
      <c r="O39" s="133">
        <v>19.0</v>
      </c>
      <c r="P39" s="133">
        <v>21.0</v>
      </c>
      <c r="Q39" s="133">
        <v>26.0</v>
      </c>
      <c r="R39" s="133">
        <v>29.0</v>
      </c>
      <c r="S39" s="133">
        <v>22.0</v>
      </c>
      <c r="T39" s="133">
        <v>26.0</v>
      </c>
      <c r="U39" s="134">
        <v>30.0</v>
      </c>
      <c r="V39" s="133">
        <v>35.0</v>
      </c>
      <c r="W39" s="133"/>
      <c r="X39" s="133"/>
      <c r="Y39" s="133"/>
      <c r="Z39" s="133"/>
      <c r="AA39" s="133"/>
      <c r="AB39" s="133"/>
      <c r="AC39" s="130"/>
      <c r="AD39" s="130"/>
      <c r="AE39" s="130"/>
      <c r="AF39" s="130"/>
      <c r="AG39" s="130"/>
      <c r="AH39" s="130"/>
      <c r="AI39" s="130"/>
      <c r="AJ39" s="130"/>
      <c r="AK39" s="130"/>
      <c r="AL39" s="130"/>
      <c r="AM39" s="130"/>
      <c r="AN39" s="130"/>
      <c r="AO39" s="130"/>
    </row>
    <row r="40">
      <c r="A40" s="131" t="s">
        <v>1118</v>
      </c>
      <c r="B40" s="132"/>
      <c r="C40" s="133"/>
      <c r="D40" s="130"/>
      <c r="E40" s="130"/>
      <c r="F40" s="130"/>
      <c r="G40" s="130"/>
      <c r="H40" s="130"/>
      <c r="I40" s="130"/>
      <c r="J40" s="130"/>
      <c r="K40" s="130"/>
      <c r="L40" s="130"/>
      <c r="M40" s="130"/>
      <c r="N40" s="130"/>
      <c r="O40" s="133">
        <v>5.0</v>
      </c>
      <c r="P40" s="133">
        <v>8.0</v>
      </c>
      <c r="Q40" s="133"/>
      <c r="R40" s="133">
        <v>5.0</v>
      </c>
      <c r="S40" s="133">
        <v>10.0</v>
      </c>
      <c r="T40" s="133">
        <v>9.0</v>
      </c>
      <c r="U40" s="134">
        <v>10.0</v>
      </c>
      <c r="V40" s="133">
        <v>10.0</v>
      </c>
      <c r="W40" s="133"/>
      <c r="X40" s="133"/>
      <c r="Y40" s="133"/>
      <c r="Z40" s="133"/>
      <c r="AA40" s="133"/>
      <c r="AB40" s="133"/>
      <c r="AC40" s="130"/>
      <c r="AD40" s="130"/>
      <c r="AE40" s="130"/>
      <c r="AF40" s="130"/>
      <c r="AG40" s="130"/>
      <c r="AH40" s="130"/>
      <c r="AI40" s="130"/>
      <c r="AJ40" s="130"/>
      <c r="AK40" s="130"/>
      <c r="AL40" s="130"/>
      <c r="AM40" s="130"/>
      <c r="AN40" s="130"/>
      <c r="AO40" s="130"/>
    </row>
    <row r="41">
      <c r="A41" s="131" t="s">
        <v>1090</v>
      </c>
      <c r="B41" s="132"/>
      <c r="C41" s="133"/>
      <c r="D41" s="130"/>
      <c r="E41" s="130"/>
      <c r="F41" s="130"/>
      <c r="G41" s="130"/>
      <c r="H41" s="130"/>
      <c r="I41" s="130"/>
      <c r="J41" s="130"/>
      <c r="K41" s="130"/>
      <c r="L41" s="130"/>
      <c r="M41" s="130"/>
      <c r="N41" s="130"/>
      <c r="O41" s="133">
        <v>13.0</v>
      </c>
      <c r="P41" s="133">
        <v>8.0</v>
      </c>
      <c r="Q41" s="133"/>
      <c r="R41" s="133">
        <v>13.0</v>
      </c>
      <c r="S41" s="133">
        <v>13.0</v>
      </c>
      <c r="T41" s="133">
        <v>11.0</v>
      </c>
      <c r="U41" s="134">
        <v>16.0</v>
      </c>
      <c r="V41" s="133">
        <v>16.0</v>
      </c>
      <c r="W41" s="133"/>
      <c r="X41" s="133"/>
      <c r="Y41" s="133"/>
      <c r="Z41" s="133"/>
      <c r="AA41" s="133"/>
      <c r="AB41" s="133"/>
      <c r="AC41" s="130"/>
      <c r="AD41" s="130"/>
      <c r="AE41" s="130"/>
      <c r="AF41" s="130"/>
      <c r="AG41" s="130"/>
      <c r="AH41" s="130"/>
      <c r="AI41" s="130"/>
      <c r="AJ41" s="130"/>
      <c r="AK41" s="130"/>
      <c r="AL41" s="130"/>
      <c r="AM41" s="130"/>
      <c r="AN41" s="130"/>
      <c r="AO41" s="130"/>
    </row>
    <row r="42">
      <c r="A42" s="131" t="s">
        <v>1119</v>
      </c>
      <c r="B42" s="132"/>
      <c r="C42" s="133"/>
      <c r="D42" s="130"/>
      <c r="E42" s="130"/>
      <c r="F42" s="130"/>
      <c r="G42" s="130"/>
      <c r="H42" s="130"/>
      <c r="I42" s="130"/>
      <c r="J42" s="130"/>
      <c r="K42" s="130"/>
      <c r="L42" s="130"/>
      <c r="M42" s="130"/>
      <c r="N42" s="130"/>
      <c r="O42" s="133">
        <v>47.0</v>
      </c>
      <c r="P42" s="133">
        <v>50.0</v>
      </c>
      <c r="Q42" s="133"/>
      <c r="R42" s="133">
        <v>52.0</v>
      </c>
      <c r="S42" s="133">
        <v>50.0</v>
      </c>
      <c r="T42" s="133">
        <v>58.0</v>
      </c>
      <c r="U42" s="134">
        <v>52.0</v>
      </c>
      <c r="V42" s="133">
        <v>55.0</v>
      </c>
      <c r="W42" s="133"/>
      <c r="X42" s="133"/>
      <c r="Y42" s="133"/>
      <c r="Z42" s="133"/>
      <c r="AA42" s="133"/>
      <c r="AB42" s="133"/>
      <c r="AC42" s="130"/>
      <c r="AD42" s="130"/>
      <c r="AE42" s="130"/>
      <c r="AF42" s="130"/>
      <c r="AG42" s="130"/>
      <c r="AH42" s="130"/>
      <c r="AI42" s="130"/>
      <c r="AJ42" s="130"/>
      <c r="AK42" s="130"/>
      <c r="AL42" s="130"/>
      <c r="AM42" s="130"/>
      <c r="AN42" s="130"/>
      <c r="AO42" s="130"/>
    </row>
    <row r="43">
      <c r="A43" s="131"/>
      <c r="B43" s="132"/>
      <c r="C43" s="133"/>
      <c r="D43" s="130"/>
      <c r="E43" s="130"/>
      <c r="F43" s="130"/>
      <c r="G43" s="130"/>
      <c r="H43" s="130"/>
      <c r="I43" s="130"/>
      <c r="J43" s="130"/>
      <c r="K43" s="130"/>
      <c r="L43" s="130"/>
      <c r="M43" s="130"/>
      <c r="N43" s="130"/>
      <c r="O43" s="130"/>
      <c r="P43" s="130"/>
      <c r="Q43" s="133"/>
      <c r="R43" s="133"/>
      <c r="S43" s="133"/>
      <c r="T43" s="133"/>
      <c r="U43" s="133"/>
      <c r="V43" s="133"/>
      <c r="W43" s="133"/>
      <c r="X43" s="133"/>
      <c r="Y43" s="133"/>
      <c r="Z43" s="133"/>
      <c r="AA43" s="133"/>
      <c r="AB43" s="133"/>
      <c r="AC43" s="130"/>
      <c r="AD43" s="130"/>
      <c r="AE43" s="130"/>
      <c r="AF43" s="130"/>
      <c r="AG43" s="130"/>
      <c r="AH43" s="130"/>
      <c r="AI43" s="130"/>
      <c r="AJ43" s="130"/>
      <c r="AK43" s="130"/>
      <c r="AL43" s="130"/>
      <c r="AM43" s="130"/>
      <c r="AN43" s="130"/>
      <c r="AO43" s="130"/>
    </row>
    <row r="44">
      <c r="A44" s="131"/>
      <c r="B44" s="136"/>
      <c r="C44" s="130"/>
      <c r="D44" s="130"/>
      <c r="E44" s="130"/>
      <c r="F44" s="130"/>
      <c r="G44" s="130"/>
      <c r="H44" s="130"/>
      <c r="I44" s="130"/>
      <c r="J44" s="130"/>
      <c r="K44" s="130"/>
      <c r="L44" s="130"/>
      <c r="M44" s="130"/>
      <c r="N44" s="130"/>
      <c r="O44" s="130"/>
      <c r="P44" s="130"/>
      <c r="Q44" s="133"/>
      <c r="R44" s="133"/>
      <c r="S44" s="133"/>
      <c r="T44" s="133"/>
      <c r="U44" s="134"/>
      <c r="V44" s="133"/>
      <c r="W44" s="133"/>
      <c r="X44" s="133"/>
      <c r="Y44" s="133"/>
      <c r="Z44" s="133"/>
      <c r="AA44" s="133"/>
      <c r="AB44" s="133"/>
      <c r="AC44" s="130"/>
      <c r="AD44" s="130"/>
      <c r="AE44" s="130"/>
      <c r="AF44" s="130"/>
      <c r="AG44" s="130"/>
      <c r="AH44" s="130"/>
      <c r="AI44" s="130"/>
      <c r="AJ44" s="130"/>
      <c r="AK44" s="130"/>
      <c r="AL44" s="130"/>
      <c r="AM44" s="130"/>
      <c r="AN44" s="130"/>
      <c r="AO44" s="130"/>
    </row>
    <row r="45">
      <c r="A45" s="131"/>
      <c r="B45" s="136"/>
      <c r="C45" s="130"/>
      <c r="D45" s="130"/>
      <c r="E45" s="130"/>
      <c r="F45" s="130"/>
      <c r="G45" s="130"/>
      <c r="H45" s="130"/>
      <c r="I45" s="130"/>
      <c r="J45" s="130"/>
      <c r="K45" s="130"/>
      <c r="L45" s="130"/>
      <c r="M45" s="130"/>
      <c r="N45" s="130"/>
      <c r="O45" s="130"/>
      <c r="P45" s="130"/>
      <c r="Q45" s="133"/>
      <c r="R45" s="133"/>
      <c r="S45" s="133"/>
      <c r="T45" s="133"/>
      <c r="U45" s="134"/>
      <c r="V45" s="133"/>
      <c r="W45" s="133"/>
      <c r="X45" s="133"/>
      <c r="Y45" s="133"/>
      <c r="Z45" s="133"/>
      <c r="AA45" s="133"/>
      <c r="AB45" s="133"/>
      <c r="AC45" s="130"/>
      <c r="AD45" s="130"/>
      <c r="AE45" s="130"/>
      <c r="AF45" s="130"/>
      <c r="AG45" s="130"/>
      <c r="AH45" s="130"/>
      <c r="AI45" s="130"/>
      <c r="AJ45" s="130"/>
      <c r="AK45" s="130"/>
      <c r="AL45" s="130"/>
      <c r="AM45" s="130"/>
      <c r="AN45" s="130"/>
      <c r="AO45" s="130"/>
    </row>
    <row r="46">
      <c r="A46" s="131"/>
      <c r="B46" s="132"/>
      <c r="C46" s="130"/>
      <c r="D46" s="130"/>
      <c r="E46" s="130"/>
      <c r="F46" s="130"/>
      <c r="G46" s="130"/>
      <c r="H46" s="130"/>
      <c r="I46" s="130"/>
      <c r="J46" s="130"/>
      <c r="K46" s="130"/>
      <c r="L46" s="130"/>
      <c r="M46" s="130"/>
      <c r="N46" s="130"/>
      <c r="O46" s="130"/>
      <c r="P46" s="130"/>
      <c r="Q46" s="133"/>
      <c r="R46" s="133"/>
      <c r="S46" s="133"/>
      <c r="T46" s="133"/>
      <c r="U46" s="134"/>
      <c r="V46" s="133"/>
      <c r="W46" s="133"/>
      <c r="X46" s="133"/>
      <c r="Y46" s="133"/>
      <c r="Z46" s="133"/>
      <c r="AA46" s="133"/>
      <c r="AB46" s="133"/>
      <c r="AC46" s="130"/>
      <c r="AD46" s="130"/>
      <c r="AE46" s="130"/>
      <c r="AF46" s="130"/>
      <c r="AG46" s="130"/>
      <c r="AH46" s="130"/>
      <c r="AI46" s="130"/>
      <c r="AJ46" s="130"/>
      <c r="AK46" s="130"/>
      <c r="AL46" s="130"/>
      <c r="AM46" s="130"/>
      <c r="AN46" s="130"/>
      <c r="AO46" s="130"/>
    </row>
    <row r="47">
      <c r="A47" s="126" t="s">
        <v>46</v>
      </c>
      <c r="B47" s="127"/>
      <c r="C47" s="128"/>
      <c r="D47" s="128"/>
      <c r="E47" s="128"/>
      <c r="F47" s="128"/>
      <c r="G47" s="128"/>
      <c r="H47" s="128"/>
      <c r="I47" s="128"/>
      <c r="J47" s="128"/>
      <c r="K47" s="128"/>
      <c r="L47" s="128"/>
      <c r="M47" s="128"/>
      <c r="N47" s="128"/>
      <c r="O47" s="128"/>
      <c r="P47" s="128"/>
      <c r="Q47" s="128"/>
      <c r="R47" s="128"/>
      <c r="S47" s="128"/>
      <c r="T47" s="128"/>
      <c r="U47" s="129"/>
      <c r="V47" s="128"/>
      <c r="W47" s="128"/>
      <c r="X47" s="128"/>
      <c r="Y47" s="128"/>
      <c r="Z47" s="128"/>
      <c r="AA47" s="128"/>
      <c r="AB47" s="128"/>
      <c r="AC47" s="128"/>
      <c r="AD47" s="130"/>
      <c r="AE47" s="130"/>
      <c r="AF47" s="130"/>
      <c r="AG47" s="130"/>
      <c r="AH47" s="130"/>
      <c r="AI47" s="130"/>
      <c r="AJ47" s="130"/>
      <c r="AK47" s="130"/>
      <c r="AL47" s="130"/>
      <c r="AM47" s="130"/>
      <c r="AN47" s="130"/>
      <c r="AO47" s="130"/>
    </row>
    <row r="48">
      <c r="A48" s="131" t="s">
        <v>1083</v>
      </c>
      <c r="B48" s="132"/>
      <c r="C48" s="133"/>
      <c r="D48" s="133"/>
      <c r="E48" s="133"/>
      <c r="F48" s="133"/>
      <c r="G48" s="133"/>
      <c r="H48" s="133"/>
      <c r="I48" s="133"/>
      <c r="J48" s="133"/>
      <c r="K48" s="133"/>
      <c r="L48" s="133"/>
      <c r="M48" s="133"/>
      <c r="N48" s="133"/>
      <c r="O48" s="133">
        <v>32.0</v>
      </c>
      <c r="P48" s="133">
        <v>39.0</v>
      </c>
      <c r="Q48" s="133">
        <v>8.0</v>
      </c>
      <c r="R48" s="133">
        <v>34.0</v>
      </c>
      <c r="S48" s="199">
        <v>0.0</v>
      </c>
      <c r="T48" s="133">
        <v>34.0</v>
      </c>
      <c r="U48" s="134">
        <v>45.0</v>
      </c>
      <c r="V48" s="133"/>
      <c r="W48" s="133"/>
      <c r="X48" s="133"/>
      <c r="Y48" s="133"/>
      <c r="Z48" s="133"/>
      <c r="AA48" s="133"/>
      <c r="AB48" s="130"/>
      <c r="AC48" s="130"/>
      <c r="AD48" s="130"/>
      <c r="AE48" s="130"/>
      <c r="AF48" s="130"/>
      <c r="AG48" s="130"/>
      <c r="AH48" s="130"/>
      <c r="AI48" s="130"/>
      <c r="AJ48" s="130"/>
      <c r="AK48" s="130"/>
      <c r="AL48" s="130"/>
      <c r="AM48" s="130"/>
      <c r="AN48" s="130"/>
      <c r="AO48" s="130"/>
    </row>
    <row r="49">
      <c r="A49" s="131" t="s">
        <v>1116</v>
      </c>
      <c r="B49" s="132"/>
      <c r="C49" s="133"/>
      <c r="D49" s="133"/>
      <c r="E49" s="130"/>
      <c r="F49" s="133"/>
      <c r="G49" s="133"/>
      <c r="H49" s="133"/>
      <c r="I49" s="130"/>
      <c r="J49" s="130"/>
      <c r="K49" s="130"/>
      <c r="L49" s="130"/>
      <c r="M49" s="130"/>
      <c r="N49" s="130"/>
      <c r="O49" s="199">
        <v>52.0</v>
      </c>
      <c r="P49" s="133">
        <v>48.0</v>
      </c>
      <c r="Q49" s="133">
        <v>18.0</v>
      </c>
      <c r="R49" s="133">
        <v>49.0</v>
      </c>
      <c r="S49" s="199">
        <v>8.0</v>
      </c>
      <c r="T49" s="133">
        <v>48.0</v>
      </c>
      <c r="U49" s="134">
        <v>50.0</v>
      </c>
      <c r="V49" s="130"/>
      <c r="W49" s="130"/>
      <c r="X49" s="130"/>
      <c r="Y49" s="130"/>
      <c r="Z49" s="130"/>
      <c r="AA49" s="130"/>
      <c r="AB49" s="130"/>
      <c r="AC49" s="130"/>
      <c r="AD49" s="130"/>
      <c r="AE49" s="130"/>
      <c r="AF49" s="130"/>
      <c r="AG49" s="130"/>
      <c r="AH49" s="130"/>
      <c r="AI49" s="130"/>
      <c r="AJ49" s="130"/>
      <c r="AK49" s="130"/>
      <c r="AL49" s="130"/>
      <c r="AM49" s="130"/>
      <c r="AN49" s="130"/>
      <c r="AO49" s="130"/>
    </row>
    <row r="50">
      <c r="A50" s="131" t="s">
        <v>1117</v>
      </c>
      <c r="B50" s="137"/>
      <c r="C50" s="133"/>
      <c r="D50" s="133"/>
      <c r="E50" s="130"/>
      <c r="F50" s="133"/>
      <c r="G50" s="133"/>
      <c r="H50" s="133"/>
      <c r="I50" s="133"/>
      <c r="J50" s="133"/>
      <c r="K50" s="133"/>
      <c r="L50" s="133"/>
      <c r="M50" s="133"/>
      <c r="N50" s="133"/>
      <c r="O50" s="133">
        <v>19.0</v>
      </c>
      <c r="P50" s="133">
        <v>21.0</v>
      </c>
      <c r="Q50" s="133">
        <v>28.0</v>
      </c>
      <c r="R50" s="133">
        <v>23.0</v>
      </c>
      <c r="S50" s="199">
        <v>31.0</v>
      </c>
      <c r="T50" s="133">
        <v>37.0</v>
      </c>
      <c r="U50" s="134">
        <v>21.0</v>
      </c>
      <c r="V50" s="130"/>
      <c r="W50" s="130"/>
      <c r="X50" s="130"/>
      <c r="Y50" s="130"/>
      <c r="Z50" s="130"/>
      <c r="AA50" s="130"/>
      <c r="AB50" s="130"/>
      <c r="AC50" s="130"/>
      <c r="AD50" s="130"/>
      <c r="AE50" s="130"/>
      <c r="AF50" s="130"/>
      <c r="AG50" s="130"/>
      <c r="AH50" s="130"/>
      <c r="AI50" s="130"/>
      <c r="AJ50" s="130"/>
      <c r="AK50" s="130"/>
      <c r="AL50" s="130"/>
      <c r="AM50" s="130"/>
      <c r="AN50" s="130"/>
      <c r="AO50" s="130"/>
    </row>
    <row r="51">
      <c r="A51" s="131" t="s">
        <v>1118</v>
      </c>
      <c r="B51" s="137"/>
      <c r="C51" s="133"/>
      <c r="D51" s="133"/>
      <c r="E51" s="133"/>
      <c r="F51" s="133"/>
      <c r="G51" s="133"/>
      <c r="H51" s="133"/>
      <c r="I51" s="133"/>
      <c r="J51" s="133"/>
      <c r="K51" s="133"/>
      <c r="L51" s="133"/>
      <c r="M51" s="133"/>
      <c r="N51" s="133"/>
      <c r="O51" s="133">
        <v>5.0</v>
      </c>
      <c r="P51" s="133">
        <v>5.0</v>
      </c>
      <c r="Q51" s="133">
        <v>4.0</v>
      </c>
      <c r="R51" s="133">
        <v>3.0</v>
      </c>
      <c r="S51" s="199">
        <v>5.0</v>
      </c>
      <c r="T51" s="133">
        <v>11.0</v>
      </c>
      <c r="U51" s="134">
        <v>10.0</v>
      </c>
      <c r="V51" s="133"/>
      <c r="W51" s="133"/>
      <c r="X51" s="133"/>
      <c r="Y51" s="133"/>
      <c r="Z51" s="133"/>
      <c r="AA51" s="133"/>
      <c r="AB51" s="130"/>
      <c r="AC51" s="130"/>
      <c r="AD51" s="130"/>
      <c r="AE51" s="130"/>
      <c r="AF51" s="130"/>
      <c r="AG51" s="130"/>
      <c r="AH51" s="130"/>
      <c r="AI51" s="130"/>
      <c r="AJ51" s="130"/>
      <c r="AK51" s="130"/>
      <c r="AL51" s="130"/>
      <c r="AM51" s="130"/>
      <c r="AN51" s="130"/>
      <c r="AO51" s="130"/>
    </row>
    <row r="52">
      <c r="A52" s="131" t="s">
        <v>1090</v>
      </c>
      <c r="B52" s="137"/>
      <c r="C52" s="133"/>
      <c r="D52" s="133"/>
      <c r="E52" s="130"/>
      <c r="F52" s="133"/>
      <c r="G52" s="133"/>
      <c r="H52" s="133"/>
      <c r="I52" s="133"/>
      <c r="J52" s="133"/>
      <c r="K52" s="133"/>
      <c r="L52" s="133"/>
      <c r="M52" s="133"/>
      <c r="N52" s="133"/>
      <c r="O52" s="133">
        <v>13.0</v>
      </c>
      <c r="P52" s="133">
        <v>3.0</v>
      </c>
      <c r="Q52" s="133">
        <v>0.0</v>
      </c>
      <c r="R52" s="133">
        <v>0.0</v>
      </c>
      <c r="S52" s="199">
        <v>13.0</v>
      </c>
      <c r="T52" s="133">
        <v>14.0</v>
      </c>
      <c r="U52" s="134">
        <v>11.0</v>
      </c>
      <c r="V52" s="133"/>
      <c r="W52" s="133"/>
      <c r="X52" s="133"/>
      <c r="Y52" s="133"/>
      <c r="Z52" s="133"/>
      <c r="AA52" s="133"/>
      <c r="AB52" s="130"/>
      <c r="AC52" s="130"/>
      <c r="AD52" s="130"/>
      <c r="AE52" s="130"/>
      <c r="AF52" s="130"/>
      <c r="AG52" s="130"/>
      <c r="AH52" s="130"/>
      <c r="AI52" s="130"/>
      <c r="AJ52" s="130"/>
      <c r="AK52" s="130"/>
      <c r="AL52" s="130"/>
      <c r="AM52" s="130"/>
      <c r="AN52" s="130"/>
      <c r="AO52" s="130"/>
    </row>
    <row r="53">
      <c r="A53" s="131" t="s">
        <v>1119</v>
      </c>
      <c r="B53" s="137"/>
      <c r="C53" s="133"/>
      <c r="D53" s="133"/>
      <c r="E53" s="133"/>
      <c r="F53" s="133"/>
      <c r="G53" s="133"/>
      <c r="H53" s="133"/>
      <c r="I53" s="133"/>
      <c r="J53" s="133"/>
      <c r="K53" s="133"/>
      <c r="L53" s="133"/>
      <c r="M53" s="133"/>
      <c r="N53" s="133"/>
      <c r="O53" s="133">
        <v>47.0</v>
      </c>
      <c r="P53" s="133">
        <v>13.0</v>
      </c>
      <c r="Q53" s="133">
        <v>26.0</v>
      </c>
      <c r="R53" s="133">
        <v>31.0</v>
      </c>
      <c r="S53" s="199">
        <v>29.0</v>
      </c>
      <c r="T53" s="133">
        <v>58.0</v>
      </c>
      <c r="U53" s="134">
        <v>39.0</v>
      </c>
      <c r="V53" s="133"/>
      <c r="W53" s="133"/>
      <c r="X53" s="133"/>
      <c r="Y53" s="133"/>
      <c r="Z53" s="133"/>
      <c r="AA53" s="133"/>
      <c r="AB53" s="130"/>
      <c r="AC53" s="130"/>
      <c r="AD53" s="130"/>
      <c r="AE53" s="130"/>
      <c r="AF53" s="130"/>
      <c r="AG53" s="130"/>
      <c r="AH53" s="130"/>
      <c r="AI53" s="130"/>
      <c r="AJ53" s="130"/>
      <c r="AK53" s="130"/>
      <c r="AL53" s="130"/>
      <c r="AM53" s="130"/>
      <c r="AN53" s="130"/>
      <c r="AO53" s="130"/>
    </row>
    <row r="54">
      <c r="A54" s="126" t="s">
        <v>225</v>
      </c>
      <c r="B54" s="410"/>
      <c r="C54" s="403"/>
      <c r="D54" s="403"/>
      <c r="E54" s="403"/>
      <c r="F54" s="403"/>
      <c r="G54" s="403"/>
      <c r="H54" s="403"/>
      <c r="I54" s="403"/>
      <c r="J54" s="403"/>
      <c r="K54" s="403"/>
      <c r="L54" s="403"/>
      <c r="M54" s="403"/>
      <c r="N54" s="403"/>
      <c r="O54" s="403"/>
      <c r="P54" s="403"/>
      <c r="Q54" s="403"/>
      <c r="R54" s="403"/>
      <c r="S54" s="403"/>
      <c r="T54" s="403"/>
      <c r="U54" s="403"/>
      <c r="V54" s="411"/>
      <c r="W54" s="403"/>
      <c r="X54" s="403"/>
      <c r="Y54" s="403"/>
      <c r="Z54" s="403"/>
      <c r="AA54" s="403"/>
      <c r="AB54" s="403"/>
      <c r="AC54" s="403"/>
      <c r="AD54" s="403"/>
      <c r="AE54" s="403"/>
      <c r="AF54" s="403"/>
      <c r="AG54" s="403"/>
      <c r="AH54" s="403"/>
      <c r="AI54" s="403"/>
      <c r="AJ54" s="403"/>
      <c r="AK54" s="403"/>
      <c r="AL54" s="403"/>
      <c r="AM54" s="403"/>
      <c r="AN54" s="403"/>
    </row>
    <row r="55">
      <c r="A55" s="131"/>
      <c r="B55" s="137"/>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0"/>
      <c r="AC55" s="130"/>
      <c r="AD55" s="130"/>
      <c r="AE55" s="130"/>
      <c r="AF55" s="130"/>
      <c r="AG55" s="130"/>
      <c r="AH55" s="130"/>
      <c r="AI55" s="130"/>
      <c r="AJ55" s="130"/>
      <c r="AK55" s="130"/>
      <c r="AL55" s="130"/>
      <c r="AM55" s="130"/>
      <c r="AN55" s="130"/>
      <c r="AO55" s="130"/>
    </row>
    <row r="56">
      <c r="A56" s="131"/>
      <c r="B56" s="137"/>
      <c r="C56" s="133"/>
      <c r="D56" s="133"/>
      <c r="E56" s="133"/>
      <c r="F56" s="133"/>
      <c r="G56" s="133"/>
      <c r="H56" s="133"/>
      <c r="I56" s="133"/>
      <c r="J56" s="133"/>
      <c r="K56" s="133"/>
      <c r="L56" s="133"/>
      <c r="M56" s="133"/>
      <c r="N56" s="133"/>
      <c r="O56" s="133"/>
      <c r="P56" s="133"/>
      <c r="Q56" s="133"/>
      <c r="R56" s="133"/>
      <c r="S56" s="133"/>
      <c r="T56" s="133"/>
      <c r="U56" s="134"/>
      <c r="V56" s="133"/>
      <c r="W56" s="133"/>
      <c r="X56" s="133"/>
      <c r="Y56" s="133"/>
      <c r="Z56" s="133"/>
      <c r="AA56" s="133"/>
      <c r="AB56" s="130"/>
      <c r="AC56" s="130"/>
      <c r="AD56" s="130"/>
      <c r="AE56" s="130"/>
      <c r="AF56" s="130"/>
      <c r="AG56" s="130"/>
      <c r="AH56" s="130"/>
      <c r="AI56" s="130"/>
      <c r="AJ56" s="130"/>
      <c r="AK56" s="130"/>
      <c r="AL56" s="130"/>
      <c r="AM56" s="130"/>
      <c r="AN56" s="130"/>
      <c r="AO56" s="130"/>
    </row>
    <row r="57">
      <c r="A57" s="131"/>
      <c r="B57" s="137"/>
      <c r="C57" s="133"/>
      <c r="D57" s="133"/>
      <c r="E57" s="133"/>
      <c r="F57" s="133"/>
      <c r="G57" s="133"/>
      <c r="H57" s="133"/>
      <c r="I57" s="133"/>
      <c r="J57" s="133"/>
      <c r="K57" s="133"/>
      <c r="L57" s="133"/>
      <c r="M57" s="133"/>
      <c r="N57" s="133"/>
      <c r="O57" s="133"/>
      <c r="P57" s="133"/>
      <c r="Q57" s="133"/>
      <c r="R57" s="133"/>
      <c r="S57" s="133"/>
      <c r="T57" s="133"/>
      <c r="U57" s="134"/>
      <c r="V57" s="133"/>
      <c r="W57" s="133"/>
      <c r="X57" s="133"/>
      <c r="Y57" s="133"/>
      <c r="Z57" s="133"/>
      <c r="AA57" s="133"/>
      <c r="AB57" s="130"/>
      <c r="AC57" s="130"/>
      <c r="AD57" s="130"/>
      <c r="AE57" s="130"/>
      <c r="AF57" s="130"/>
      <c r="AG57" s="130"/>
      <c r="AH57" s="130"/>
      <c r="AI57" s="130"/>
      <c r="AJ57" s="130"/>
      <c r="AK57" s="130"/>
      <c r="AL57" s="130"/>
      <c r="AM57" s="130"/>
      <c r="AN57" s="130"/>
      <c r="AO57" s="130"/>
    </row>
    <row r="58">
      <c r="A58" s="131"/>
      <c r="B58" s="137"/>
      <c r="C58" s="133"/>
      <c r="D58" s="133"/>
      <c r="E58" s="133"/>
      <c r="F58" s="133"/>
      <c r="G58" s="133"/>
      <c r="H58" s="133"/>
      <c r="I58" s="133"/>
      <c r="J58" s="133"/>
      <c r="K58" s="133"/>
      <c r="L58" s="133"/>
      <c r="M58" s="133"/>
      <c r="N58" s="133"/>
      <c r="O58" s="133"/>
      <c r="P58" s="133"/>
      <c r="Q58" s="133"/>
      <c r="R58" s="133"/>
      <c r="S58" s="133"/>
      <c r="T58" s="133"/>
      <c r="U58" s="134"/>
      <c r="V58" s="133"/>
      <c r="W58" s="133"/>
      <c r="X58" s="133"/>
      <c r="Y58" s="133"/>
      <c r="Z58" s="133"/>
      <c r="AA58" s="133"/>
      <c r="AB58" s="130"/>
      <c r="AC58" s="130"/>
      <c r="AD58" s="130"/>
      <c r="AE58" s="130"/>
      <c r="AF58" s="130"/>
      <c r="AG58" s="130"/>
      <c r="AH58" s="130"/>
      <c r="AI58" s="130"/>
      <c r="AJ58" s="130"/>
      <c r="AK58" s="130"/>
      <c r="AL58" s="130"/>
      <c r="AM58" s="130"/>
      <c r="AN58" s="130"/>
      <c r="AO58" s="130"/>
    </row>
    <row r="59">
      <c r="B59" s="138"/>
      <c r="U59" s="31"/>
    </row>
    <row r="60">
      <c r="B60" s="138"/>
      <c r="U60" s="31"/>
    </row>
    <row r="61">
      <c r="B61" s="138"/>
      <c r="U61" s="31"/>
    </row>
    <row r="62">
      <c r="B62" s="138"/>
      <c r="U62" s="31"/>
    </row>
    <row r="63">
      <c r="B63" s="138"/>
      <c r="U63" s="31"/>
    </row>
    <row r="64">
      <c r="B64" s="138"/>
      <c r="U64" s="31"/>
    </row>
    <row r="65">
      <c r="B65" s="138"/>
      <c r="U65" s="31"/>
    </row>
    <row r="66">
      <c r="B66" s="138"/>
      <c r="U66" s="31"/>
    </row>
    <row r="67">
      <c r="B67" s="138"/>
      <c r="U67" s="31"/>
    </row>
    <row r="68">
      <c r="B68" s="138"/>
      <c r="U68" s="31"/>
    </row>
    <row r="69">
      <c r="B69" s="138"/>
      <c r="U69" s="31"/>
    </row>
    <row r="70">
      <c r="B70" s="138"/>
      <c r="U70" s="31"/>
    </row>
    <row r="71">
      <c r="B71" s="138"/>
      <c r="U71" s="31"/>
    </row>
    <row r="72">
      <c r="B72" s="138"/>
      <c r="U72" s="31"/>
    </row>
    <row r="73">
      <c r="B73" s="138"/>
      <c r="U73" s="31"/>
    </row>
    <row r="74">
      <c r="B74" s="138"/>
      <c r="U74" s="31"/>
    </row>
    <row r="75">
      <c r="B75" s="138"/>
      <c r="U75" s="31"/>
    </row>
    <row r="76">
      <c r="B76" s="138"/>
      <c r="U76" s="31"/>
    </row>
    <row r="77">
      <c r="B77" s="138"/>
      <c r="U77" s="31"/>
    </row>
    <row r="78">
      <c r="B78" s="138"/>
      <c r="U78" s="31"/>
    </row>
    <row r="79">
      <c r="B79" s="138"/>
      <c r="U79" s="31"/>
    </row>
    <row r="80">
      <c r="B80" s="138"/>
      <c r="U80" s="31"/>
    </row>
    <row r="81">
      <c r="B81" s="138"/>
      <c r="U81" s="31"/>
    </row>
    <row r="82">
      <c r="B82" s="138"/>
      <c r="U82" s="31"/>
    </row>
    <row r="83">
      <c r="B83" s="138"/>
      <c r="U83" s="31"/>
    </row>
    <row r="84">
      <c r="B84" s="138"/>
      <c r="U84" s="31"/>
    </row>
    <row r="85">
      <c r="B85" s="138"/>
      <c r="U85" s="31"/>
    </row>
    <row r="86">
      <c r="B86" s="138"/>
      <c r="U86" s="31"/>
    </row>
    <row r="87">
      <c r="B87" s="138"/>
      <c r="U87" s="31"/>
    </row>
    <row r="88">
      <c r="B88" s="138"/>
      <c r="U88" s="31"/>
    </row>
    <row r="89">
      <c r="B89" s="138"/>
      <c r="U89" s="31"/>
    </row>
    <row r="90">
      <c r="B90" s="138"/>
      <c r="U90" s="31"/>
    </row>
    <row r="91">
      <c r="B91" s="138"/>
      <c r="U91" s="31"/>
    </row>
    <row r="92">
      <c r="B92" s="138"/>
      <c r="U92" s="31"/>
    </row>
    <row r="93">
      <c r="B93" s="138"/>
      <c r="U93" s="31"/>
    </row>
    <row r="94">
      <c r="B94" s="138"/>
      <c r="U94" s="31"/>
    </row>
    <row r="95">
      <c r="B95" s="138"/>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sheetData>
  <mergeCells count="16">
    <mergeCell ref="H3:I3"/>
    <mergeCell ref="J3:L3"/>
    <mergeCell ref="M3:N3"/>
    <mergeCell ref="O3:P3"/>
    <mergeCell ref="Q3:R3"/>
    <mergeCell ref="S3:T3"/>
    <mergeCell ref="U3:V3"/>
    <mergeCell ref="W3:Y3"/>
    <mergeCell ref="B2:G2"/>
    <mergeCell ref="H2:N2"/>
    <mergeCell ref="O2:T2"/>
    <mergeCell ref="U2:AA2"/>
    <mergeCell ref="B3:C3"/>
    <mergeCell ref="D3:E3"/>
    <mergeCell ref="F3:G3"/>
    <mergeCell ref="Z3:AA3"/>
  </mergeCells>
  <dataValidations>
    <dataValidation type="list" allowBlank="1" showErrorMessage="1" sqref="B24:AA24 B33:AA33">
      <formula1>"0%,100%"</formula1>
    </dataValidation>
  </dataValidations>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9.75"/>
    <col customWidth="1" min="2" max="2" width="14.75"/>
    <col customWidth="1" min="5" max="5" width="14.0"/>
    <col customWidth="1" min="9" max="9" width="17.63"/>
    <col customWidth="1" min="10" max="10" width="16.13"/>
    <col customWidth="1" min="12" max="12" width="20.63"/>
    <col customWidth="1" min="13" max="13" width="17.38"/>
    <col customWidth="1" min="14" max="14" width="20.13"/>
    <col customWidth="1" min="15" max="15" width="19.75"/>
    <col customWidth="1" min="16" max="16" width="21.88"/>
    <col customWidth="1" min="17" max="17" width="19.75"/>
    <col customWidth="1" min="18" max="18" width="17.63"/>
    <col customWidth="1" min="19" max="19" width="17.75"/>
    <col customWidth="1" min="20" max="20" width="17.13"/>
    <col customWidth="1" min="21" max="21" width="16.75"/>
    <col customWidth="1" min="27" max="27" width="13.5"/>
  </cols>
  <sheetData>
    <row r="1" ht="30.0" customHeight="1">
      <c r="A1" s="675" t="s">
        <v>1120</v>
      </c>
      <c r="B1" s="2"/>
      <c r="C1" s="676"/>
      <c r="D1" s="676"/>
      <c r="E1" s="676"/>
      <c r="F1" s="676"/>
      <c r="G1" s="676"/>
      <c r="H1" s="676"/>
      <c r="I1" s="676"/>
      <c r="J1" s="3"/>
      <c r="K1" s="3"/>
      <c r="L1" s="3"/>
      <c r="M1" s="3"/>
      <c r="N1" s="3"/>
      <c r="O1" s="3"/>
      <c r="P1" s="4"/>
      <c r="Q1" s="4"/>
      <c r="R1" s="4"/>
      <c r="S1" s="5"/>
      <c r="T1" s="4"/>
      <c r="U1" s="4"/>
      <c r="V1" s="4"/>
      <c r="W1" s="4"/>
      <c r="X1" s="4"/>
      <c r="Y1" s="4"/>
      <c r="Z1" s="4"/>
      <c r="AA1" s="4"/>
      <c r="AB1" s="4"/>
      <c r="AC1" s="4"/>
      <c r="AD1" s="4"/>
      <c r="AE1" s="4"/>
      <c r="AF1" s="4"/>
      <c r="AG1" s="4"/>
      <c r="AH1" s="4"/>
      <c r="AI1" s="4"/>
      <c r="AJ1" s="4"/>
      <c r="AK1" s="4"/>
      <c r="AL1" s="4"/>
      <c r="AM1" s="4"/>
      <c r="AN1" s="4"/>
      <c r="AO1" s="4"/>
    </row>
    <row r="2">
      <c r="A2" s="22" t="s">
        <v>1</v>
      </c>
      <c r="B2" s="7" t="s">
        <v>2</v>
      </c>
      <c r="C2" s="8"/>
      <c r="D2" s="8"/>
      <c r="E2" s="8"/>
      <c r="F2" s="8"/>
      <c r="G2" s="9"/>
      <c r="H2" s="7" t="s">
        <v>3</v>
      </c>
      <c r="I2" s="8"/>
      <c r="J2" s="8"/>
      <c r="K2" s="8"/>
      <c r="L2" s="8"/>
      <c r="M2" s="8"/>
      <c r="N2" s="10" t="s">
        <v>4</v>
      </c>
      <c r="O2" s="8"/>
      <c r="P2" s="8"/>
      <c r="Q2" s="8"/>
      <c r="R2" s="8"/>
      <c r="S2" s="9"/>
      <c r="T2" s="11" t="s">
        <v>5</v>
      </c>
      <c r="U2" s="8"/>
      <c r="V2" s="8"/>
      <c r="W2" s="8"/>
      <c r="X2" s="8"/>
      <c r="Y2" s="8"/>
      <c r="Z2" s="9"/>
      <c r="AA2" s="12"/>
      <c r="AB2" s="12"/>
      <c r="AC2" s="12"/>
      <c r="AD2" s="12"/>
      <c r="AE2" s="12"/>
      <c r="AF2" s="12"/>
      <c r="AG2" s="12"/>
      <c r="AH2" s="12"/>
      <c r="AI2" s="12"/>
      <c r="AJ2" s="12"/>
      <c r="AK2" s="12"/>
      <c r="AL2" s="12"/>
      <c r="AM2" s="12"/>
      <c r="AN2" s="12"/>
      <c r="AO2" s="12"/>
    </row>
    <row r="3">
      <c r="A3" s="22" t="s">
        <v>6</v>
      </c>
      <c r="B3" s="13" t="s">
        <v>7</v>
      </c>
      <c r="C3" s="14"/>
      <c r="D3" s="677" t="s">
        <v>8</v>
      </c>
      <c r="E3" s="9"/>
      <c r="F3" s="7" t="s">
        <v>9</v>
      </c>
      <c r="G3" s="9"/>
      <c r="H3" s="677" t="s">
        <v>10</v>
      </c>
      <c r="I3" s="9"/>
      <c r="J3" s="10" t="s">
        <v>11</v>
      </c>
      <c r="K3" s="8"/>
      <c r="L3" s="16" t="s">
        <v>12</v>
      </c>
      <c r="M3" s="8"/>
      <c r="N3" s="10" t="s">
        <v>13</v>
      </c>
      <c r="O3" s="9"/>
      <c r="P3" s="15" t="s">
        <v>14</v>
      </c>
      <c r="Q3" s="9"/>
      <c r="R3" s="10" t="s">
        <v>15</v>
      </c>
      <c r="S3" s="9"/>
      <c r="T3" s="17" t="s">
        <v>16</v>
      </c>
      <c r="U3" s="9"/>
      <c r="V3" s="10" t="s">
        <v>17</v>
      </c>
      <c r="W3" s="8"/>
      <c r="X3" s="9"/>
      <c r="Y3" s="16" t="s">
        <v>18</v>
      </c>
      <c r="Z3" s="9"/>
      <c r="AA3" s="12"/>
      <c r="AB3" s="12"/>
      <c r="AC3" s="12"/>
      <c r="AD3" s="12"/>
      <c r="AE3" s="12"/>
      <c r="AF3" s="12"/>
      <c r="AG3" s="12"/>
      <c r="AH3" s="12"/>
      <c r="AI3" s="12"/>
      <c r="AJ3" s="12"/>
      <c r="AK3" s="12"/>
      <c r="AL3" s="12"/>
      <c r="AM3" s="12"/>
      <c r="AN3" s="12"/>
      <c r="AO3" s="12"/>
    </row>
    <row r="4">
      <c r="A4" s="22" t="s">
        <v>19</v>
      </c>
      <c r="B4" s="18" t="s">
        <v>1121</v>
      </c>
      <c r="C4" s="18" t="s">
        <v>1122</v>
      </c>
      <c r="D4" s="18" t="s">
        <v>1123</v>
      </c>
      <c r="E4" s="18" t="s">
        <v>1124</v>
      </c>
      <c r="F4" s="18" t="s">
        <v>1125</v>
      </c>
      <c r="G4" s="18" t="s">
        <v>1126</v>
      </c>
      <c r="H4" s="24" t="s">
        <v>1127</v>
      </c>
      <c r="I4" s="24" t="s">
        <v>1128</v>
      </c>
      <c r="J4" s="19" t="s">
        <v>1129</v>
      </c>
      <c r="K4" s="19" t="s">
        <v>1130</v>
      </c>
      <c r="L4" s="19" t="s">
        <v>1131</v>
      </c>
      <c r="M4" s="19" t="s">
        <v>1132</v>
      </c>
      <c r="N4" s="19" t="s">
        <v>539</v>
      </c>
      <c r="O4" s="19" t="s">
        <v>1133</v>
      </c>
      <c r="P4" s="19" t="s">
        <v>1134</v>
      </c>
      <c r="Q4" s="19" t="s">
        <v>1135</v>
      </c>
      <c r="R4" s="19" t="s">
        <v>1136</v>
      </c>
      <c r="S4" s="19" t="s">
        <v>1137</v>
      </c>
      <c r="T4" s="20" t="s">
        <v>1138</v>
      </c>
      <c r="U4" s="19"/>
      <c r="V4" s="19"/>
      <c r="W4" s="19"/>
      <c r="X4" s="19"/>
      <c r="Y4" s="19"/>
      <c r="Z4" s="21"/>
      <c r="AA4" s="12"/>
      <c r="AB4" s="12"/>
      <c r="AC4" s="12"/>
      <c r="AD4" s="12"/>
      <c r="AE4" s="12"/>
      <c r="AF4" s="12"/>
      <c r="AG4" s="12"/>
      <c r="AH4" s="12"/>
      <c r="AI4" s="12"/>
      <c r="AJ4" s="12"/>
      <c r="AK4" s="12"/>
      <c r="AL4" s="12"/>
      <c r="AM4" s="12"/>
      <c r="AN4" s="12"/>
      <c r="AO4" s="12"/>
    </row>
    <row r="5">
      <c r="A5" s="678" t="s">
        <v>20</v>
      </c>
      <c r="B5" s="471" t="s">
        <v>1139</v>
      </c>
      <c r="C5" s="471" t="s">
        <v>1140</v>
      </c>
      <c r="D5" s="471" t="s">
        <v>1141</v>
      </c>
      <c r="E5" s="471" t="s">
        <v>1142</v>
      </c>
      <c r="F5" s="471" t="s">
        <v>1143</v>
      </c>
      <c r="G5" s="471" t="s">
        <v>1144</v>
      </c>
      <c r="H5" s="471" t="s">
        <v>1145</v>
      </c>
      <c r="I5" s="471" t="s">
        <v>1146</v>
      </c>
      <c r="J5" s="471" t="s">
        <v>1147</v>
      </c>
      <c r="K5" s="471" t="s">
        <v>1148</v>
      </c>
      <c r="L5" s="471" t="s">
        <v>1149</v>
      </c>
      <c r="M5" s="679" t="s">
        <v>1150</v>
      </c>
      <c r="N5" s="679" t="s">
        <v>1151</v>
      </c>
      <c r="O5" s="473" t="s">
        <v>1152</v>
      </c>
      <c r="P5" s="473" t="s">
        <v>1153</v>
      </c>
      <c r="Q5" s="473" t="s">
        <v>1154</v>
      </c>
      <c r="R5" s="473" t="s">
        <v>1155</v>
      </c>
      <c r="S5" s="473" t="s">
        <v>1156</v>
      </c>
      <c r="T5" s="680" t="s">
        <v>1157</v>
      </c>
      <c r="U5" s="473"/>
      <c r="V5" s="679"/>
      <c r="W5" s="679"/>
      <c r="X5" s="679"/>
      <c r="Y5" s="473"/>
      <c r="Z5" s="473"/>
      <c r="AA5" s="681"/>
      <c r="AB5" s="682"/>
      <c r="AC5" s="682"/>
      <c r="AD5" s="682"/>
      <c r="AE5" s="682"/>
      <c r="AF5" s="682"/>
      <c r="AG5" s="682"/>
      <c r="AH5" s="682"/>
      <c r="AI5" s="682"/>
      <c r="AJ5" s="682"/>
      <c r="AK5" s="682"/>
      <c r="AL5" s="682"/>
      <c r="AM5" s="682"/>
      <c r="AN5" s="682"/>
      <c r="AO5" s="682"/>
    </row>
    <row r="6">
      <c r="A6" s="683"/>
      <c r="B6" s="30"/>
      <c r="C6" s="138"/>
      <c r="D6" s="138"/>
      <c r="E6" s="138"/>
      <c r="F6" s="138"/>
      <c r="G6" s="138"/>
      <c r="H6" s="138"/>
      <c r="I6" s="138"/>
      <c r="T6" s="31"/>
    </row>
    <row r="7">
      <c r="A7" s="684" t="s">
        <v>21</v>
      </c>
      <c r="B7" s="33">
        <v>215.0</v>
      </c>
      <c r="C7" s="33">
        <v>280.0</v>
      </c>
      <c r="D7" s="33">
        <v>295.0</v>
      </c>
      <c r="E7" s="33">
        <v>282.0</v>
      </c>
      <c r="F7" s="33">
        <v>272.0</v>
      </c>
      <c r="G7" s="33">
        <v>313.0</v>
      </c>
      <c r="H7" s="33">
        <v>277.0</v>
      </c>
      <c r="I7" s="33">
        <v>325.0</v>
      </c>
      <c r="J7" s="34">
        <v>330.0</v>
      </c>
      <c r="K7" s="34">
        <v>318.0</v>
      </c>
      <c r="L7" s="34">
        <v>252.0</v>
      </c>
      <c r="M7" s="34">
        <v>307.0</v>
      </c>
      <c r="N7" s="34">
        <v>263.0</v>
      </c>
      <c r="O7" s="34">
        <v>285.0</v>
      </c>
      <c r="P7" s="34">
        <v>289.0</v>
      </c>
      <c r="Q7" s="34">
        <v>272.0</v>
      </c>
      <c r="R7" s="34">
        <f>29+89+141</f>
        <v>259</v>
      </c>
      <c r="S7" s="35">
        <v>233.0</v>
      </c>
      <c r="T7" s="36">
        <v>243.0</v>
      </c>
      <c r="U7" s="34"/>
      <c r="V7" s="34"/>
      <c r="W7" s="34"/>
      <c r="X7" s="34"/>
      <c r="Y7" s="34"/>
      <c r="Z7" s="34"/>
    </row>
    <row r="8">
      <c r="A8" s="685" t="s">
        <v>22</v>
      </c>
      <c r="B8" s="38">
        <v>197.0</v>
      </c>
      <c r="C8" s="38">
        <v>242.0</v>
      </c>
      <c r="D8" s="38">
        <v>269.0</v>
      </c>
      <c r="E8" s="38">
        <v>253.0</v>
      </c>
      <c r="F8" s="38">
        <v>240.0</v>
      </c>
      <c r="G8" s="38">
        <v>257.0</v>
      </c>
      <c r="H8" s="38">
        <v>225.0</v>
      </c>
      <c r="I8" s="38">
        <v>294.0</v>
      </c>
      <c r="J8" s="39">
        <v>234.0</v>
      </c>
      <c r="K8" s="39">
        <v>271.0</v>
      </c>
      <c r="L8" s="39">
        <v>228.0</v>
      </c>
      <c r="M8" s="39">
        <v>268.0</v>
      </c>
      <c r="N8" s="39">
        <v>226.0</v>
      </c>
      <c r="O8" s="39">
        <v>259.0</v>
      </c>
      <c r="P8" s="39">
        <v>271.0</v>
      </c>
      <c r="Q8" s="39">
        <v>227.0</v>
      </c>
      <c r="R8" s="39">
        <v>197.0</v>
      </c>
      <c r="S8" s="40">
        <v>201.0</v>
      </c>
      <c r="T8" s="41">
        <v>208.0</v>
      </c>
      <c r="U8" s="39"/>
      <c r="V8" s="39"/>
      <c r="W8" s="39"/>
      <c r="X8" s="39"/>
      <c r="Y8" s="39"/>
      <c r="Z8" s="39"/>
    </row>
    <row r="9">
      <c r="A9" s="685" t="s">
        <v>23</v>
      </c>
      <c r="B9" s="38">
        <v>13.0</v>
      </c>
      <c r="C9" s="38">
        <v>38.0</v>
      </c>
      <c r="D9" s="38">
        <v>26.0</v>
      </c>
      <c r="E9" s="38">
        <v>29.0</v>
      </c>
      <c r="F9" s="38">
        <v>32.0</v>
      </c>
      <c r="G9" s="38">
        <v>60.0</v>
      </c>
      <c r="H9" s="38">
        <v>52.0</v>
      </c>
      <c r="I9" s="38">
        <v>47.0</v>
      </c>
      <c r="J9" s="39">
        <v>107.0</v>
      </c>
      <c r="K9" s="39">
        <v>47.0</v>
      </c>
      <c r="L9" s="39">
        <v>24.0</v>
      </c>
      <c r="M9" s="39">
        <v>31.0</v>
      </c>
      <c r="N9" s="39">
        <v>37.0</v>
      </c>
      <c r="O9" s="39">
        <v>28.0</v>
      </c>
      <c r="P9" s="39">
        <f>13+25</f>
        <v>38</v>
      </c>
      <c r="Q9" s="39">
        <v>34.0</v>
      </c>
      <c r="R9" s="39">
        <v>41.0</v>
      </c>
      <c r="S9" s="40">
        <v>38.0</v>
      </c>
      <c r="T9" s="41">
        <v>13.0</v>
      </c>
      <c r="U9" s="41"/>
      <c r="V9" s="41"/>
      <c r="W9" s="41"/>
      <c r="X9" s="41"/>
      <c r="Y9" s="41"/>
      <c r="Z9" s="41"/>
    </row>
    <row r="10">
      <c r="A10" s="686" t="s">
        <v>24</v>
      </c>
      <c r="B10" s="43">
        <f t="shared" ref="B10:T10" si="1">IFERROR(B9/B7, 0)</f>
        <v>0.06046511628</v>
      </c>
      <c r="C10" s="43">
        <f t="shared" si="1"/>
        <v>0.1357142857</v>
      </c>
      <c r="D10" s="43">
        <f t="shared" si="1"/>
        <v>0.08813559322</v>
      </c>
      <c r="E10" s="43">
        <f t="shared" si="1"/>
        <v>0.1028368794</v>
      </c>
      <c r="F10" s="43">
        <f t="shared" si="1"/>
        <v>0.1176470588</v>
      </c>
      <c r="G10" s="43">
        <f t="shared" si="1"/>
        <v>0.1916932907</v>
      </c>
      <c r="H10" s="43">
        <f t="shared" si="1"/>
        <v>0.1877256318</v>
      </c>
      <c r="I10" s="43">
        <f t="shared" si="1"/>
        <v>0.1446153846</v>
      </c>
      <c r="J10" s="43">
        <f t="shared" si="1"/>
        <v>0.3242424242</v>
      </c>
      <c r="K10" s="43">
        <f t="shared" si="1"/>
        <v>0.1477987421</v>
      </c>
      <c r="L10" s="43">
        <f t="shared" si="1"/>
        <v>0.09523809524</v>
      </c>
      <c r="M10" s="43">
        <f t="shared" si="1"/>
        <v>0.1009771987</v>
      </c>
      <c r="N10" s="43">
        <f t="shared" si="1"/>
        <v>0.1406844106</v>
      </c>
      <c r="O10" s="43">
        <f t="shared" si="1"/>
        <v>0.09824561404</v>
      </c>
      <c r="P10" s="43">
        <f t="shared" si="1"/>
        <v>0.1314878893</v>
      </c>
      <c r="Q10" s="43">
        <f t="shared" si="1"/>
        <v>0.125</v>
      </c>
      <c r="R10" s="43">
        <f t="shared" si="1"/>
        <v>0.1583011583</v>
      </c>
      <c r="S10" s="43">
        <f t="shared" si="1"/>
        <v>0.1630901288</v>
      </c>
      <c r="T10" s="43">
        <f t="shared" si="1"/>
        <v>0.05349794239</v>
      </c>
      <c r="U10" s="45"/>
      <c r="V10" s="45"/>
      <c r="W10" s="45"/>
      <c r="X10" s="45"/>
      <c r="Y10" s="45"/>
      <c r="Z10" s="45"/>
    </row>
    <row r="11">
      <c r="A11" s="46"/>
      <c r="B11" s="46"/>
      <c r="C11" s="46"/>
      <c r="D11" s="46"/>
      <c r="E11" s="46"/>
      <c r="F11" s="46"/>
      <c r="G11" s="46"/>
      <c r="H11" s="46"/>
      <c r="I11" s="46"/>
      <c r="J11" s="40"/>
      <c r="K11" s="40"/>
      <c r="L11" s="40"/>
      <c r="M11" s="40"/>
      <c r="N11" s="40"/>
      <c r="O11" s="40"/>
      <c r="P11" s="40"/>
      <c r="Q11" s="40"/>
      <c r="R11" s="40"/>
      <c r="S11" s="40"/>
      <c r="T11" s="47"/>
      <c r="U11" s="40"/>
      <c r="V11" s="40"/>
      <c r="W11" s="40"/>
      <c r="X11" s="40"/>
      <c r="Y11" s="40"/>
      <c r="Z11" s="40"/>
    </row>
    <row r="12">
      <c r="A12" s="687" t="s">
        <v>25</v>
      </c>
      <c r="B12" s="49">
        <v>57.0</v>
      </c>
      <c r="C12" s="49">
        <v>53.0</v>
      </c>
      <c r="D12" s="49">
        <v>41.0</v>
      </c>
      <c r="E12" s="49">
        <v>51.0</v>
      </c>
      <c r="F12" s="49">
        <v>85.0</v>
      </c>
      <c r="G12" s="49">
        <v>82.0</v>
      </c>
      <c r="H12" s="49">
        <v>54.0</v>
      </c>
      <c r="I12" s="49">
        <v>89.0</v>
      </c>
      <c r="J12" s="50">
        <v>60.0</v>
      </c>
      <c r="K12" s="50">
        <v>88.0</v>
      </c>
      <c r="L12" s="50">
        <v>46.0</v>
      </c>
      <c r="M12" s="50">
        <v>83.0</v>
      </c>
      <c r="N12" s="50">
        <v>69.0</v>
      </c>
      <c r="O12" s="50">
        <v>67.0</v>
      </c>
      <c r="P12" s="50">
        <v>30.0</v>
      </c>
      <c r="Q12" s="50">
        <v>48.0</v>
      </c>
      <c r="R12" s="50">
        <v>55.0</v>
      </c>
      <c r="S12" s="51">
        <v>83.0</v>
      </c>
      <c r="T12" s="52">
        <v>64.0</v>
      </c>
      <c r="U12" s="50"/>
      <c r="V12" s="50"/>
      <c r="W12" s="50"/>
      <c r="X12" s="50"/>
      <c r="Y12" s="50"/>
      <c r="Z12" s="50"/>
    </row>
    <row r="13">
      <c r="A13" s="688" t="s">
        <v>26</v>
      </c>
      <c r="B13" s="54">
        <v>61.0</v>
      </c>
      <c r="C13" s="54">
        <v>28.0</v>
      </c>
      <c r="D13" s="54">
        <v>38.0</v>
      </c>
      <c r="E13" s="54">
        <v>59.0</v>
      </c>
      <c r="F13" s="54">
        <v>61.0</v>
      </c>
      <c r="G13" s="54">
        <v>58.0</v>
      </c>
      <c r="H13" s="54">
        <v>66.0</v>
      </c>
      <c r="I13" s="54">
        <v>61.0</v>
      </c>
      <c r="J13" s="55">
        <v>25.0</v>
      </c>
      <c r="K13" s="55">
        <v>79.0</v>
      </c>
      <c r="L13" s="55">
        <v>55.0</v>
      </c>
      <c r="M13" s="55">
        <v>51.0</v>
      </c>
      <c r="N13" s="55">
        <v>61.0</v>
      </c>
      <c r="O13" s="55">
        <v>68.0</v>
      </c>
      <c r="P13" s="55">
        <v>46.0</v>
      </c>
      <c r="Q13" s="55">
        <v>31.0</v>
      </c>
      <c r="R13" s="55">
        <v>38.0</v>
      </c>
      <c r="S13" s="56">
        <v>82.0</v>
      </c>
      <c r="T13" s="57">
        <v>60.0</v>
      </c>
      <c r="U13" s="55"/>
      <c r="V13" s="55"/>
      <c r="W13" s="55"/>
      <c r="X13" s="55"/>
      <c r="Y13" s="55"/>
      <c r="Z13" s="55"/>
    </row>
    <row r="14">
      <c r="A14" s="689" t="s">
        <v>27</v>
      </c>
      <c r="B14" s="59">
        <v>6.0</v>
      </c>
      <c r="C14" s="59">
        <v>25.0</v>
      </c>
      <c r="D14" s="59">
        <v>15.0</v>
      </c>
      <c r="E14" s="59">
        <v>22.0</v>
      </c>
      <c r="F14" s="59">
        <v>24.0</v>
      </c>
      <c r="G14" s="59">
        <v>33.0</v>
      </c>
      <c r="H14" s="59">
        <v>9.0</v>
      </c>
      <c r="I14" s="59">
        <v>28.0</v>
      </c>
      <c r="J14" s="60">
        <v>40.0</v>
      </c>
      <c r="K14" s="60">
        <v>22.0</v>
      </c>
      <c r="L14" s="60">
        <v>6.0</v>
      </c>
      <c r="M14" s="60">
        <v>29.0</v>
      </c>
      <c r="N14" s="60">
        <v>8.0</v>
      </c>
      <c r="O14" s="60">
        <v>8.0</v>
      </c>
      <c r="P14" s="60">
        <v>8.0</v>
      </c>
      <c r="Q14" s="60">
        <v>22.0</v>
      </c>
      <c r="R14" s="60">
        <v>30.0</v>
      </c>
      <c r="S14" s="61">
        <v>33.0</v>
      </c>
      <c r="T14" s="62">
        <v>11.0</v>
      </c>
      <c r="U14" s="60"/>
      <c r="V14" s="60"/>
      <c r="W14" s="60"/>
      <c r="X14" s="60"/>
      <c r="Y14" s="60"/>
      <c r="Z14" s="60"/>
    </row>
    <row r="15">
      <c r="A15" s="63"/>
      <c r="B15" s="63"/>
      <c r="C15" s="63"/>
      <c r="D15" s="63"/>
      <c r="E15" s="63"/>
      <c r="F15" s="63"/>
      <c r="G15" s="63"/>
      <c r="H15" s="63"/>
      <c r="I15" s="63"/>
      <c r="J15" s="56"/>
      <c r="K15" s="56"/>
      <c r="L15" s="56"/>
      <c r="M15" s="56"/>
      <c r="N15" s="56"/>
      <c r="O15" s="56"/>
      <c r="P15" s="56"/>
      <c r="Q15" s="56"/>
      <c r="R15" s="56"/>
      <c r="S15" s="56"/>
      <c r="T15" s="64"/>
      <c r="U15" s="56"/>
      <c r="V15" s="56"/>
      <c r="W15" s="56"/>
      <c r="X15" s="56"/>
      <c r="Y15" s="56"/>
      <c r="Z15" s="56"/>
    </row>
    <row r="16">
      <c r="A16" s="66" t="s">
        <v>28</v>
      </c>
      <c r="B16" s="66"/>
      <c r="C16" s="66"/>
      <c r="D16" s="66"/>
      <c r="E16" s="66"/>
      <c r="F16" s="66"/>
      <c r="G16" s="66"/>
      <c r="H16" s="66"/>
      <c r="I16" s="66"/>
      <c r="J16" s="65"/>
      <c r="K16" s="65"/>
      <c r="L16" s="65"/>
      <c r="M16" s="65"/>
      <c r="N16" s="65"/>
      <c r="O16" s="65"/>
      <c r="P16" s="65"/>
      <c r="Q16" s="65"/>
      <c r="R16" s="65"/>
      <c r="S16" s="67"/>
      <c r="T16" s="68"/>
      <c r="U16" s="65"/>
      <c r="V16" s="65"/>
      <c r="W16" s="65"/>
      <c r="X16" s="65"/>
      <c r="Y16" s="65"/>
      <c r="Z16" s="65"/>
    </row>
    <row r="17">
      <c r="A17" s="66" t="s">
        <v>29</v>
      </c>
      <c r="B17" s="66"/>
      <c r="C17" s="66"/>
      <c r="D17" s="66"/>
      <c r="E17" s="66"/>
      <c r="F17" s="66"/>
      <c r="G17" s="66"/>
      <c r="H17" s="66"/>
      <c r="I17" s="66"/>
      <c r="J17" s="65"/>
      <c r="K17" s="65"/>
      <c r="L17" s="65"/>
      <c r="M17" s="65"/>
      <c r="N17" s="65"/>
      <c r="O17" s="65"/>
      <c r="P17" s="65"/>
      <c r="Q17" s="65"/>
      <c r="R17" s="65"/>
      <c r="S17" s="67"/>
      <c r="T17" s="68"/>
      <c r="U17" s="65"/>
      <c r="V17" s="65"/>
      <c r="W17" s="65"/>
      <c r="X17" s="65"/>
      <c r="Y17" s="65"/>
      <c r="Z17" s="65"/>
    </row>
    <row r="18">
      <c r="A18" s="70" t="s">
        <v>30</v>
      </c>
      <c r="B18" s="70">
        <v>135.0</v>
      </c>
      <c r="C18" s="70">
        <v>142.0</v>
      </c>
      <c r="D18" s="70">
        <v>177.0</v>
      </c>
      <c r="E18" s="70">
        <v>138.0</v>
      </c>
      <c r="F18" s="70">
        <v>192.0</v>
      </c>
      <c r="G18" s="70">
        <v>215.0</v>
      </c>
      <c r="H18" s="70">
        <v>166.0</v>
      </c>
      <c r="I18" s="70">
        <v>221.0</v>
      </c>
      <c r="J18" s="69">
        <v>207.0</v>
      </c>
      <c r="K18" s="69">
        <v>196.0</v>
      </c>
      <c r="L18" s="69">
        <v>148.0</v>
      </c>
      <c r="M18" s="69">
        <v>172.0</v>
      </c>
      <c r="N18" s="69">
        <v>150.0</v>
      </c>
      <c r="O18" s="69">
        <v>151.0</v>
      </c>
      <c r="P18" s="69">
        <f>26+124</f>
        <v>150</v>
      </c>
      <c r="Q18" s="69">
        <v>121.0</v>
      </c>
      <c r="R18" s="69">
        <v>147.0</v>
      </c>
      <c r="S18" s="69">
        <v>163.0</v>
      </c>
      <c r="T18" s="71">
        <v>128.0</v>
      </c>
      <c r="U18" s="69"/>
      <c r="V18" s="69"/>
      <c r="W18" s="69"/>
      <c r="X18" s="69"/>
      <c r="Y18" s="69"/>
      <c r="Z18" s="72"/>
      <c r="AA18" s="73"/>
      <c r="AB18" s="73"/>
      <c r="AC18" s="73"/>
      <c r="AD18" s="73"/>
      <c r="AE18" s="73"/>
      <c r="AF18" s="73"/>
      <c r="AG18" s="73"/>
      <c r="AH18" s="73"/>
      <c r="AI18" s="73"/>
      <c r="AJ18" s="73"/>
      <c r="AK18" s="73"/>
      <c r="AL18" s="73"/>
      <c r="AM18" s="73"/>
      <c r="AN18" s="73"/>
      <c r="AO18" s="73"/>
    </row>
    <row r="19">
      <c r="A19" s="75" t="s">
        <v>31</v>
      </c>
      <c r="B19" s="75">
        <v>160.0</v>
      </c>
      <c r="C19" s="75">
        <v>161.0</v>
      </c>
      <c r="D19" s="75">
        <v>205.0</v>
      </c>
      <c r="E19" s="75">
        <v>148.0</v>
      </c>
      <c r="F19" s="75">
        <v>218.0</v>
      </c>
      <c r="G19" s="75">
        <v>233.0</v>
      </c>
      <c r="H19" s="75">
        <v>193.0</v>
      </c>
      <c r="I19" s="75">
        <v>249.0</v>
      </c>
      <c r="J19" s="74">
        <v>224.0</v>
      </c>
      <c r="K19" s="74">
        <v>212.0</v>
      </c>
      <c r="L19" s="74">
        <v>152.0</v>
      </c>
      <c r="M19" s="74">
        <v>172.0</v>
      </c>
      <c r="N19" s="74">
        <v>169.0</v>
      </c>
      <c r="O19" s="74">
        <v>185.0</v>
      </c>
      <c r="P19" s="69">
        <f>26+153</f>
        <v>179</v>
      </c>
      <c r="Q19" s="74">
        <v>172.0</v>
      </c>
      <c r="R19" s="74">
        <v>168.0</v>
      </c>
      <c r="S19" s="74">
        <v>174.0</v>
      </c>
      <c r="T19" s="76">
        <v>134.0</v>
      </c>
      <c r="U19" s="74"/>
      <c r="V19" s="74"/>
      <c r="W19" s="74"/>
      <c r="X19" s="74"/>
      <c r="Y19" s="74"/>
      <c r="Z19" s="77"/>
      <c r="AA19" s="78"/>
      <c r="AB19" s="78"/>
      <c r="AC19" s="78"/>
      <c r="AD19" s="78"/>
      <c r="AE19" s="78"/>
      <c r="AF19" s="78"/>
      <c r="AG19" s="78"/>
      <c r="AH19" s="78"/>
      <c r="AI19" s="78"/>
      <c r="AJ19" s="78"/>
      <c r="AK19" s="78"/>
      <c r="AL19" s="78"/>
      <c r="AM19" s="78"/>
      <c r="AN19" s="78"/>
      <c r="AO19" s="78"/>
    </row>
    <row r="20">
      <c r="A20" s="70" t="s">
        <v>32</v>
      </c>
      <c r="B20" s="70">
        <v>62.0</v>
      </c>
      <c r="C20" s="70">
        <v>134.0</v>
      </c>
      <c r="D20" s="70">
        <v>82.0</v>
      </c>
      <c r="E20" s="70">
        <v>65.0</v>
      </c>
      <c r="F20" s="70">
        <v>163.0</v>
      </c>
      <c r="G20" s="70">
        <v>178.0</v>
      </c>
      <c r="H20" s="70">
        <v>124.0</v>
      </c>
      <c r="I20" s="70">
        <v>153.0</v>
      </c>
      <c r="J20" s="69">
        <v>190.0</v>
      </c>
      <c r="K20" s="69">
        <v>140.0</v>
      </c>
      <c r="L20" s="69">
        <v>131.0</v>
      </c>
      <c r="M20" s="69">
        <v>122.0</v>
      </c>
      <c r="N20" s="69">
        <f>114-19</f>
        <v>95</v>
      </c>
      <c r="O20" s="69">
        <v>125.0</v>
      </c>
      <c r="P20" s="69">
        <f>26+63</f>
        <v>89</v>
      </c>
      <c r="Q20" s="69">
        <v>83.0</v>
      </c>
      <c r="R20" s="69">
        <v>123.0</v>
      </c>
      <c r="S20" s="69">
        <v>126.0</v>
      </c>
      <c r="T20" s="71">
        <v>66.0</v>
      </c>
      <c r="U20" s="69"/>
      <c r="V20" s="69"/>
      <c r="W20" s="69"/>
      <c r="X20" s="69"/>
      <c r="Y20" s="69"/>
      <c r="Z20" s="72"/>
      <c r="AA20" s="73"/>
      <c r="AB20" s="73"/>
      <c r="AC20" s="73"/>
      <c r="AD20" s="73"/>
      <c r="AE20" s="73"/>
      <c r="AF20" s="73"/>
      <c r="AG20" s="73"/>
      <c r="AH20" s="73"/>
      <c r="AI20" s="73"/>
      <c r="AJ20" s="73"/>
      <c r="AK20" s="73"/>
      <c r="AL20" s="73"/>
      <c r="AM20" s="73"/>
      <c r="AN20" s="73"/>
      <c r="AO20" s="73"/>
    </row>
    <row r="21">
      <c r="A21" s="80" t="s">
        <v>33</v>
      </c>
      <c r="B21" s="80"/>
      <c r="C21" s="80"/>
      <c r="D21" s="80"/>
      <c r="E21" s="80"/>
      <c r="F21" s="80"/>
      <c r="G21" s="80"/>
      <c r="H21" s="80"/>
      <c r="I21" s="80"/>
      <c r="J21" s="79"/>
      <c r="K21" s="79"/>
      <c r="L21" s="79"/>
      <c r="M21" s="79"/>
      <c r="N21" s="79">
        <v>94.0</v>
      </c>
      <c r="O21" s="79">
        <v>100.0</v>
      </c>
      <c r="P21" s="79">
        <f>140-13</f>
        <v>127</v>
      </c>
      <c r="Q21" s="79">
        <v>87.0</v>
      </c>
      <c r="R21" s="79">
        <v>67.0</v>
      </c>
      <c r="S21" s="81">
        <v>72.0</v>
      </c>
      <c r="T21" s="79">
        <f>T8-T19</f>
        <v>74</v>
      </c>
      <c r="U21" s="79"/>
      <c r="V21" s="79"/>
      <c r="W21" s="79"/>
      <c r="X21" s="79"/>
      <c r="Y21" s="79"/>
      <c r="Z21" s="79"/>
    </row>
    <row r="22">
      <c r="A22" s="690" t="s">
        <v>34</v>
      </c>
      <c r="B22" s="83">
        <v>151.0</v>
      </c>
      <c r="C22" s="83">
        <v>211.0</v>
      </c>
      <c r="D22" s="691">
        <v>240.0</v>
      </c>
      <c r="E22" s="691">
        <v>217.0</v>
      </c>
      <c r="F22" s="691">
        <v>212.0</v>
      </c>
      <c r="G22" s="691">
        <v>213.0</v>
      </c>
      <c r="H22" s="691">
        <v>195.0</v>
      </c>
      <c r="I22" s="691">
        <v>238.0</v>
      </c>
      <c r="J22" s="85">
        <v>209.0</v>
      </c>
      <c r="K22" s="85">
        <v>242.0</v>
      </c>
      <c r="L22" s="85">
        <v>201.0</v>
      </c>
      <c r="M22" s="85">
        <v>236.0</v>
      </c>
      <c r="N22" s="85">
        <v>195.0</v>
      </c>
      <c r="O22" s="84">
        <f>O8-45</f>
        <v>214</v>
      </c>
      <c r="P22" s="84">
        <f>271-13-27</f>
        <v>231</v>
      </c>
      <c r="Q22" s="85">
        <f>227-21-13-13</f>
        <v>180</v>
      </c>
      <c r="R22" s="85">
        <f>197-21-24-18</f>
        <v>134</v>
      </c>
      <c r="S22" s="85">
        <f>196</f>
        <v>196</v>
      </c>
      <c r="T22" s="86">
        <v>170.0</v>
      </c>
      <c r="U22" s="85"/>
      <c r="V22" s="85"/>
      <c r="W22" s="85"/>
      <c r="X22" s="85"/>
      <c r="Y22" s="85"/>
      <c r="Z22" s="87"/>
      <c r="AA22" s="87"/>
      <c r="AB22" s="88"/>
      <c r="AC22" s="88"/>
      <c r="AD22" s="88"/>
      <c r="AE22" s="88"/>
      <c r="AF22" s="88"/>
      <c r="AG22" s="88"/>
      <c r="AH22" s="88"/>
      <c r="AI22" s="88"/>
      <c r="AJ22" s="88"/>
      <c r="AK22" s="88"/>
      <c r="AL22" s="89"/>
      <c r="AM22" s="88"/>
      <c r="AN22" s="88"/>
      <c r="AO22" s="88"/>
    </row>
    <row r="23" ht="98.25" customHeight="1">
      <c r="A23" s="90" t="s">
        <v>35</v>
      </c>
      <c r="B23" s="692" t="s">
        <v>1158</v>
      </c>
      <c r="C23" s="692" t="s">
        <v>1159</v>
      </c>
      <c r="D23" s="692" t="s">
        <v>1160</v>
      </c>
      <c r="E23" s="692" t="s">
        <v>1161</v>
      </c>
      <c r="F23" s="692" t="s">
        <v>1162</v>
      </c>
      <c r="G23" s="692" t="s">
        <v>1163</v>
      </c>
      <c r="H23" s="692" t="s">
        <v>1164</v>
      </c>
      <c r="I23" s="693" t="s">
        <v>1165</v>
      </c>
      <c r="J23" s="694" t="s">
        <v>1166</v>
      </c>
      <c r="K23" s="693" t="s">
        <v>1167</v>
      </c>
      <c r="L23" s="694" t="s">
        <v>1168</v>
      </c>
      <c r="M23" s="694" t="s">
        <v>1169</v>
      </c>
      <c r="N23" s="694" t="s">
        <v>1170</v>
      </c>
      <c r="O23" s="694" t="s">
        <v>1171</v>
      </c>
      <c r="P23" s="694" t="s">
        <v>1172</v>
      </c>
      <c r="Q23" s="695" t="s">
        <v>1173</v>
      </c>
      <c r="R23" s="397" t="s">
        <v>1174</v>
      </c>
      <c r="S23" s="397" t="s">
        <v>1175</v>
      </c>
      <c r="T23" s="504" t="s">
        <v>1176</v>
      </c>
      <c r="U23" s="91"/>
      <c r="V23" s="91"/>
      <c r="W23" s="91"/>
      <c r="X23" s="91"/>
      <c r="Y23" s="91"/>
      <c r="Z23" s="91"/>
      <c r="AA23" s="94"/>
      <c r="AB23" s="95"/>
      <c r="AC23" s="95"/>
      <c r="AD23" s="95"/>
      <c r="AE23" s="95"/>
      <c r="AF23" s="95"/>
      <c r="AG23" s="95"/>
      <c r="AH23" s="95"/>
      <c r="AI23" s="95"/>
      <c r="AJ23" s="95"/>
      <c r="AK23" s="95"/>
      <c r="AL23" s="95"/>
      <c r="AM23" s="95"/>
      <c r="AN23" s="95"/>
      <c r="AO23" s="95"/>
    </row>
    <row r="24">
      <c r="A24" s="123" t="s">
        <v>36</v>
      </c>
      <c r="B24" s="97">
        <v>1.0</v>
      </c>
      <c r="C24" s="97">
        <v>1.0</v>
      </c>
      <c r="D24" s="97">
        <v>1.0</v>
      </c>
      <c r="E24" s="97">
        <v>1.0</v>
      </c>
      <c r="F24" s="97">
        <v>1.0</v>
      </c>
      <c r="G24" s="97">
        <v>1.0</v>
      </c>
      <c r="H24" s="97">
        <v>1.0</v>
      </c>
      <c r="I24" s="97">
        <v>1.0</v>
      </c>
      <c r="J24" s="98">
        <v>0.0</v>
      </c>
      <c r="K24" s="97">
        <v>1.0</v>
      </c>
      <c r="L24" s="98">
        <v>0.0</v>
      </c>
      <c r="M24" s="98">
        <v>0.0</v>
      </c>
      <c r="N24" s="98">
        <v>0.0</v>
      </c>
      <c r="O24" s="98">
        <v>0.0</v>
      </c>
      <c r="P24" s="98">
        <v>0.0</v>
      </c>
      <c r="Q24" s="97">
        <v>1.0</v>
      </c>
      <c r="R24" s="97">
        <v>1.0</v>
      </c>
      <c r="S24" s="97">
        <v>1.0</v>
      </c>
      <c r="T24" s="97">
        <v>1.0</v>
      </c>
      <c r="U24" s="98">
        <v>0.0</v>
      </c>
      <c r="V24" s="98">
        <v>0.0</v>
      </c>
      <c r="W24" s="98">
        <v>0.0</v>
      </c>
      <c r="X24" s="98">
        <v>0.0</v>
      </c>
      <c r="Y24" s="98">
        <v>0.0</v>
      </c>
      <c r="Z24" s="98">
        <v>0.0</v>
      </c>
      <c r="AA24" s="99"/>
      <c r="AB24" s="100"/>
      <c r="AC24" s="100"/>
      <c r="AD24" s="100"/>
      <c r="AE24" s="100"/>
      <c r="AF24" s="100"/>
      <c r="AG24" s="100"/>
      <c r="AH24" s="100"/>
      <c r="AI24" s="100"/>
      <c r="AJ24" s="100"/>
      <c r="AK24" s="100"/>
      <c r="AL24" s="100"/>
      <c r="AM24" s="100"/>
      <c r="AN24" s="100"/>
      <c r="AO24" s="100"/>
    </row>
    <row r="25">
      <c r="A25" s="696" t="s">
        <v>37</v>
      </c>
      <c r="B25" s="102">
        <f t="shared" ref="B25:Z25" si="2">IFERROR(B19/B8, 0)</f>
        <v>0.8121827411</v>
      </c>
      <c r="C25" s="102">
        <f t="shared" si="2"/>
        <v>0.6652892562</v>
      </c>
      <c r="D25" s="102">
        <f t="shared" si="2"/>
        <v>0.7620817844</v>
      </c>
      <c r="E25" s="102">
        <f t="shared" si="2"/>
        <v>0.5849802372</v>
      </c>
      <c r="F25" s="102">
        <f t="shared" si="2"/>
        <v>0.9083333333</v>
      </c>
      <c r="G25" s="102">
        <f t="shared" si="2"/>
        <v>0.906614786</v>
      </c>
      <c r="H25" s="102">
        <f t="shared" si="2"/>
        <v>0.8577777778</v>
      </c>
      <c r="I25" s="102">
        <f t="shared" si="2"/>
        <v>0.8469387755</v>
      </c>
      <c r="J25" s="102">
        <f t="shared" si="2"/>
        <v>0.9572649573</v>
      </c>
      <c r="K25" s="102">
        <f t="shared" si="2"/>
        <v>0.7822878229</v>
      </c>
      <c r="L25" s="102">
        <f t="shared" si="2"/>
        <v>0.6666666667</v>
      </c>
      <c r="M25" s="102">
        <f t="shared" si="2"/>
        <v>0.6417910448</v>
      </c>
      <c r="N25" s="102">
        <f t="shared" si="2"/>
        <v>0.7477876106</v>
      </c>
      <c r="O25" s="102">
        <f t="shared" si="2"/>
        <v>0.7142857143</v>
      </c>
      <c r="P25" s="102">
        <f t="shared" si="2"/>
        <v>0.6605166052</v>
      </c>
      <c r="Q25" s="102">
        <f t="shared" si="2"/>
        <v>0.7577092511</v>
      </c>
      <c r="R25" s="102">
        <f t="shared" si="2"/>
        <v>0.8527918782</v>
      </c>
      <c r="S25" s="102">
        <f t="shared" si="2"/>
        <v>0.8656716418</v>
      </c>
      <c r="T25" s="102">
        <f t="shared" si="2"/>
        <v>0.6442307692</v>
      </c>
      <c r="U25" s="102">
        <f t="shared" si="2"/>
        <v>0</v>
      </c>
      <c r="V25" s="102">
        <f t="shared" si="2"/>
        <v>0</v>
      </c>
      <c r="W25" s="102">
        <f t="shared" si="2"/>
        <v>0</v>
      </c>
      <c r="X25" s="102">
        <f t="shared" si="2"/>
        <v>0</v>
      </c>
      <c r="Y25" s="102">
        <f t="shared" si="2"/>
        <v>0</v>
      </c>
      <c r="Z25" s="102">
        <f t="shared" si="2"/>
        <v>0</v>
      </c>
    </row>
    <row r="26">
      <c r="A26" s="697" t="s">
        <v>38</v>
      </c>
      <c r="B26" s="106">
        <f t="shared" ref="B26:Z26" si="3">IFERROR(B12/B18, 0)</f>
        <v>0.4222222222</v>
      </c>
      <c r="C26" s="106">
        <f t="shared" si="3"/>
        <v>0.3732394366</v>
      </c>
      <c r="D26" s="106">
        <f t="shared" si="3"/>
        <v>0.2316384181</v>
      </c>
      <c r="E26" s="106">
        <f t="shared" si="3"/>
        <v>0.3695652174</v>
      </c>
      <c r="F26" s="106">
        <f t="shared" si="3"/>
        <v>0.4427083333</v>
      </c>
      <c r="G26" s="106">
        <f t="shared" si="3"/>
        <v>0.3813953488</v>
      </c>
      <c r="H26" s="106">
        <f t="shared" si="3"/>
        <v>0.3253012048</v>
      </c>
      <c r="I26" s="106">
        <f t="shared" si="3"/>
        <v>0.4027149321</v>
      </c>
      <c r="J26" s="106">
        <f t="shared" si="3"/>
        <v>0.2898550725</v>
      </c>
      <c r="K26" s="106">
        <f t="shared" si="3"/>
        <v>0.4489795918</v>
      </c>
      <c r="L26" s="106">
        <f t="shared" si="3"/>
        <v>0.3108108108</v>
      </c>
      <c r="M26" s="106">
        <f t="shared" si="3"/>
        <v>0.4825581395</v>
      </c>
      <c r="N26" s="106">
        <f t="shared" si="3"/>
        <v>0.46</v>
      </c>
      <c r="O26" s="106">
        <f t="shared" si="3"/>
        <v>0.4437086093</v>
      </c>
      <c r="P26" s="106">
        <f t="shared" si="3"/>
        <v>0.2</v>
      </c>
      <c r="Q26" s="106">
        <f t="shared" si="3"/>
        <v>0.3966942149</v>
      </c>
      <c r="R26" s="106">
        <f t="shared" si="3"/>
        <v>0.3741496599</v>
      </c>
      <c r="S26" s="106">
        <f t="shared" si="3"/>
        <v>0.509202454</v>
      </c>
      <c r="T26" s="106">
        <f t="shared" si="3"/>
        <v>0.5</v>
      </c>
      <c r="U26" s="106">
        <f t="shared" si="3"/>
        <v>0</v>
      </c>
      <c r="V26" s="106">
        <f t="shared" si="3"/>
        <v>0</v>
      </c>
      <c r="W26" s="106">
        <f t="shared" si="3"/>
        <v>0</v>
      </c>
      <c r="X26" s="106">
        <f t="shared" si="3"/>
        <v>0</v>
      </c>
      <c r="Y26" s="106">
        <f t="shared" si="3"/>
        <v>0</v>
      </c>
      <c r="Z26" s="106">
        <f t="shared" si="3"/>
        <v>0</v>
      </c>
    </row>
    <row r="27">
      <c r="A27" s="698" t="s">
        <v>39</v>
      </c>
      <c r="B27" s="110">
        <f t="shared" ref="B27:Z27" si="4">IFERROR(B20/B18, 0)</f>
        <v>0.4592592593</v>
      </c>
      <c r="C27" s="110">
        <f t="shared" si="4"/>
        <v>0.9436619718</v>
      </c>
      <c r="D27" s="110">
        <f t="shared" si="4"/>
        <v>0.4632768362</v>
      </c>
      <c r="E27" s="110">
        <f t="shared" si="4"/>
        <v>0.4710144928</v>
      </c>
      <c r="F27" s="110">
        <f t="shared" si="4"/>
        <v>0.8489583333</v>
      </c>
      <c r="G27" s="110">
        <f t="shared" si="4"/>
        <v>0.8279069767</v>
      </c>
      <c r="H27" s="110">
        <f t="shared" si="4"/>
        <v>0.7469879518</v>
      </c>
      <c r="I27" s="110">
        <f t="shared" si="4"/>
        <v>0.6923076923</v>
      </c>
      <c r="J27" s="110">
        <f t="shared" si="4"/>
        <v>0.9178743961</v>
      </c>
      <c r="K27" s="110">
        <f t="shared" si="4"/>
        <v>0.7142857143</v>
      </c>
      <c r="L27" s="110">
        <f t="shared" si="4"/>
        <v>0.8851351351</v>
      </c>
      <c r="M27" s="110">
        <f t="shared" si="4"/>
        <v>0.7093023256</v>
      </c>
      <c r="N27" s="110">
        <f t="shared" si="4"/>
        <v>0.6333333333</v>
      </c>
      <c r="O27" s="110">
        <f t="shared" si="4"/>
        <v>0.8278145695</v>
      </c>
      <c r="P27" s="110">
        <f t="shared" si="4"/>
        <v>0.5933333333</v>
      </c>
      <c r="Q27" s="110">
        <f t="shared" si="4"/>
        <v>0.6859504132</v>
      </c>
      <c r="R27" s="110">
        <f t="shared" si="4"/>
        <v>0.8367346939</v>
      </c>
      <c r="S27" s="110">
        <f t="shared" si="4"/>
        <v>0.773006135</v>
      </c>
      <c r="T27" s="110">
        <f t="shared" si="4"/>
        <v>0.515625</v>
      </c>
      <c r="U27" s="110">
        <f t="shared" si="4"/>
        <v>0</v>
      </c>
      <c r="V27" s="110">
        <f t="shared" si="4"/>
        <v>0</v>
      </c>
      <c r="W27" s="110">
        <f t="shared" si="4"/>
        <v>0</v>
      </c>
      <c r="X27" s="110">
        <f t="shared" si="4"/>
        <v>0</v>
      </c>
      <c r="Y27" s="110">
        <f t="shared" si="4"/>
        <v>0</v>
      </c>
      <c r="Z27" s="110">
        <f t="shared" si="4"/>
        <v>0</v>
      </c>
      <c r="AA27" s="112"/>
      <c r="AB27" s="113"/>
      <c r="AC27" s="113"/>
      <c r="AD27" s="113"/>
      <c r="AE27" s="113"/>
      <c r="AF27" s="113"/>
      <c r="AG27" s="113"/>
      <c r="AH27" s="113"/>
      <c r="AI27" s="113"/>
      <c r="AJ27" s="113"/>
      <c r="AK27" s="113"/>
      <c r="AL27" s="113"/>
      <c r="AM27" s="113"/>
      <c r="AN27" s="113"/>
      <c r="AO27" s="113"/>
    </row>
    <row r="28">
      <c r="A28" s="699" t="s">
        <v>40</v>
      </c>
      <c r="B28" s="115">
        <f t="shared" ref="B28:Z28" si="5">IFERROR(B22/B8, 0)</f>
        <v>0.7664974619</v>
      </c>
      <c r="C28" s="115">
        <f t="shared" si="5"/>
        <v>0.8719008264</v>
      </c>
      <c r="D28" s="115">
        <f t="shared" si="5"/>
        <v>0.8921933086</v>
      </c>
      <c r="E28" s="115">
        <f t="shared" si="5"/>
        <v>0.8577075099</v>
      </c>
      <c r="F28" s="115">
        <f t="shared" si="5"/>
        <v>0.8833333333</v>
      </c>
      <c r="G28" s="115">
        <f t="shared" si="5"/>
        <v>0.8287937743</v>
      </c>
      <c r="H28" s="115">
        <f t="shared" si="5"/>
        <v>0.8666666667</v>
      </c>
      <c r="I28" s="115">
        <f t="shared" si="5"/>
        <v>0.8095238095</v>
      </c>
      <c r="J28" s="115">
        <f t="shared" si="5"/>
        <v>0.8931623932</v>
      </c>
      <c r="K28" s="115">
        <f t="shared" si="5"/>
        <v>0.8929889299</v>
      </c>
      <c r="L28" s="115">
        <f t="shared" si="5"/>
        <v>0.8815789474</v>
      </c>
      <c r="M28" s="115">
        <f t="shared" si="5"/>
        <v>0.8805970149</v>
      </c>
      <c r="N28" s="115">
        <f t="shared" si="5"/>
        <v>0.8628318584</v>
      </c>
      <c r="O28" s="115">
        <f t="shared" si="5"/>
        <v>0.8262548263</v>
      </c>
      <c r="P28" s="115">
        <f t="shared" si="5"/>
        <v>0.852398524</v>
      </c>
      <c r="Q28" s="115">
        <f t="shared" si="5"/>
        <v>0.7929515419</v>
      </c>
      <c r="R28" s="115">
        <f t="shared" si="5"/>
        <v>0.6802030457</v>
      </c>
      <c r="S28" s="115">
        <f t="shared" si="5"/>
        <v>0.9751243781</v>
      </c>
      <c r="T28" s="115">
        <f t="shared" si="5"/>
        <v>0.8173076923</v>
      </c>
      <c r="U28" s="115">
        <f t="shared" si="5"/>
        <v>0</v>
      </c>
      <c r="V28" s="115">
        <f t="shared" si="5"/>
        <v>0</v>
      </c>
      <c r="W28" s="115">
        <f t="shared" si="5"/>
        <v>0</v>
      </c>
      <c r="X28" s="115">
        <f t="shared" si="5"/>
        <v>0</v>
      </c>
      <c r="Y28" s="115">
        <f t="shared" si="5"/>
        <v>0</v>
      </c>
      <c r="Z28" s="115">
        <f t="shared" si="5"/>
        <v>0</v>
      </c>
      <c r="AA28" s="112"/>
      <c r="AB28" s="113"/>
      <c r="AC28" s="113"/>
      <c r="AD28" s="113"/>
      <c r="AE28" s="113"/>
      <c r="AF28" s="113"/>
      <c r="AG28" s="113"/>
      <c r="AH28" s="113"/>
      <c r="AI28" s="113"/>
      <c r="AJ28" s="113"/>
      <c r="AK28" s="113"/>
      <c r="AL28" s="113"/>
      <c r="AM28" s="113"/>
      <c r="AN28" s="113"/>
      <c r="AO28" s="113"/>
    </row>
    <row r="29">
      <c r="A29" s="700" t="s">
        <v>41</v>
      </c>
      <c r="B29" s="118"/>
      <c r="C29" s="118"/>
      <c r="D29" s="118"/>
      <c r="E29" s="118"/>
      <c r="F29" s="118"/>
      <c r="G29" s="118"/>
      <c r="H29" s="118"/>
      <c r="I29" s="118"/>
      <c r="J29" s="119"/>
      <c r="K29" s="119"/>
      <c r="L29" s="119"/>
      <c r="M29" s="119"/>
      <c r="N29" s="119"/>
      <c r="O29" s="119"/>
      <c r="P29" s="119"/>
      <c r="Q29" s="119"/>
      <c r="R29" s="119"/>
      <c r="S29" s="119"/>
      <c r="T29" s="120"/>
      <c r="U29" s="119"/>
      <c r="V29" s="119"/>
      <c r="W29" s="119"/>
      <c r="X29" s="119"/>
      <c r="Y29" s="119"/>
      <c r="Z29" s="119"/>
      <c r="AA29" s="121"/>
      <c r="AB29" s="121"/>
      <c r="AC29" s="121"/>
      <c r="AD29" s="121"/>
      <c r="AE29" s="121"/>
      <c r="AF29" s="99"/>
      <c r="AG29" s="99"/>
      <c r="AH29" s="99"/>
      <c r="AI29" s="99"/>
      <c r="AJ29" s="99"/>
      <c r="AK29" s="99"/>
      <c r="AL29" s="99"/>
      <c r="AM29" s="99"/>
      <c r="AN29" s="99"/>
      <c r="AO29" s="99"/>
    </row>
    <row r="30">
      <c r="A30" s="184" t="s">
        <v>141</v>
      </c>
      <c r="B30" s="185">
        <f t="shared" ref="B30:T30" si="6">B61/B8</f>
        <v>0</v>
      </c>
      <c r="C30" s="185">
        <f t="shared" si="6"/>
        <v>0</v>
      </c>
      <c r="D30" s="185">
        <f t="shared" si="6"/>
        <v>0</v>
      </c>
      <c r="E30" s="185">
        <f t="shared" si="6"/>
        <v>0</v>
      </c>
      <c r="F30" s="185">
        <f t="shared" si="6"/>
        <v>0</v>
      </c>
      <c r="G30" s="185">
        <f t="shared" si="6"/>
        <v>0</v>
      </c>
      <c r="H30" s="185">
        <f t="shared" si="6"/>
        <v>0</v>
      </c>
      <c r="I30" s="185">
        <f t="shared" si="6"/>
        <v>0</v>
      </c>
      <c r="J30" s="185">
        <f t="shared" si="6"/>
        <v>0</v>
      </c>
      <c r="K30" s="185">
        <f t="shared" si="6"/>
        <v>0</v>
      </c>
      <c r="L30" s="185">
        <f t="shared" si="6"/>
        <v>0</v>
      </c>
      <c r="M30" s="185">
        <f t="shared" si="6"/>
        <v>0</v>
      </c>
      <c r="N30" s="185">
        <f t="shared" si="6"/>
        <v>0</v>
      </c>
      <c r="O30" s="185">
        <f t="shared" si="6"/>
        <v>0</v>
      </c>
      <c r="P30" s="185">
        <f t="shared" si="6"/>
        <v>0</v>
      </c>
      <c r="Q30" s="185">
        <f t="shared" si="6"/>
        <v>0</v>
      </c>
      <c r="R30" s="185">
        <f t="shared" si="6"/>
        <v>0</v>
      </c>
      <c r="S30" s="185">
        <f t="shared" si="6"/>
        <v>0</v>
      </c>
      <c r="T30" s="185">
        <f t="shared" si="6"/>
        <v>0</v>
      </c>
      <c r="U30" s="97">
        <v>0.26</v>
      </c>
      <c r="V30" s="185" t="str">
        <f t="shared" ref="V30:Z30" si="7">V61/V8</f>
        <v>#DIV/0!</v>
      </c>
      <c r="W30" s="185" t="str">
        <f t="shared" si="7"/>
        <v>#DIV/0!</v>
      </c>
      <c r="X30" s="185" t="str">
        <f t="shared" si="7"/>
        <v>#DIV/0!</v>
      </c>
      <c r="Y30" s="185" t="str">
        <f t="shared" si="7"/>
        <v>#DIV/0!</v>
      </c>
      <c r="Z30" s="185" t="str">
        <f t="shared" si="7"/>
        <v>#DIV/0!</v>
      </c>
      <c r="AA30" s="701"/>
      <c r="AB30" s="701"/>
      <c r="AC30" s="186"/>
      <c r="AD30" s="186"/>
      <c r="AE30" s="186"/>
      <c r="AF30" s="186"/>
      <c r="AG30" s="186"/>
      <c r="AH30" s="186"/>
      <c r="AI30" s="186"/>
      <c r="AJ30" s="186"/>
      <c r="AK30" s="186"/>
      <c r="AL30" s="186"/>
      <c r="AM30" s="186"/>
      <c r="AN30" s="186"/>
      <c r="AO30" s="186"/>
    </row>
    <row r="31">
      <c r="A31" s="190" t="s">
        <v>42</v>
      </c>
      <c r="B31" s="191">
        <f>21/197</f>
        <v>0.1065989848</v>
      </c>
      <c r="C31" s="185">
        <f>21/242</f>
        <v>0.0867768595</v>
      </c>
      <c r="D31" s="185">
        <f t="shared" ref="D31:E31" si="8">IFERROR(44/D8, 0)</f>
        <v>0.1635687732</v>
      </c>
      <c r="E31" s="185">
        <f t="shared" si="8"/>
        <v>0.1739130435</v>
      </c>
      <c r="F31" s="191">
        <v>0.3</v>
      </c>
      <c r="G31" s="185">
        <f>IFERROR(68/G8, 0)</f>
        <v>0.2645914397</v>
      </c>
      <c r="H31" s="185">
        <f>IFERROR(52/H8, 0)</f>
        <v>0.2311111111</v>
      </c>
      <c r="I31" s="185">
        <f>IFERROR(81/I8, 0)</f>
        <v>0.2755102041</v>
      </c>
      <c r="J31" s="185">
        <f>IFERROR(99/J7, 0)</f>
        <v>0.3</v>
      </c>
      <c r="K31" s="185">
        <f>IFERROR(46/K8, 0)</f>
        <v>0.1697416974</v>
      </c>
      <c r="L31" s="185">
        <f>IFERROR(63/L8, 0)</f>
        <v>0.2763157895</v>
      </c>
      <c r="M31" s="185">
        <f>IFERROR(73/M8, 0)</f>
        <v>0.2723880597</v>
      </c>
      <c r="N31" s="185">
        <f>IFERROR(76/N8, 0)</f>
        <v>0.3362831858</v>
      </c>
      <c r="O31" s="185">
        <f>IFERROR(78/O8, 0)</f>
        <v>0.3011583012</v>
      </c>
      <c r="P31" s="97">
        <v>0.3</v>
      </c>
      <c r="Q31" s="97">
        <v>0.09</v>
      </c>
      <c r="R31" s="97">
        <v>0.37</v>
      </c>
      <c r="S31" s="97">
        <v>0.5</v>
      </c>
      <c r="T31" s="97">
        <v>0.16</v>
      </c>
      <c r="U31" s="97">
        <v>0.26</v>
      </c>
      <c r="V31" s="98">
        <v>0.0</v>
      </c>
      <c r="W31" s="98">
        <v>0.0</v>
      </c>
      <c r="X31" s="98">
        <v>0.0</v>
      </c>
      <c r="Y31" s="98">
        <v>0.0</v>
      </c>
      <c r="Z31" s="98">
        <v>0.0</v>
      </c>
      <c r="AA31" s="188"/>
      <c r="AB31" s="189"/>
      <c r="AC31" s="189"/>
      <c r="AD31" s="189"/>
      <c r="AE31" s="189"/>
      <c r="AF31" s="147"/>
      <c r="AG31" s="147"/>
      <c r="AH31" s="147"/>
      <c r="AI31" s="147"/>
      <c r="AJ31" s="147"/>
      <c r="AK31" s="147"/>
      <c r="AL31" s="147"/>
      <c r="AM31" s="147"/>
      <c r="AN31" s="147"/>
      <c r="AO31" s="147"/>
    </row>
    <row r="32">
      <c r="A32" s="190" t="s">
        <v>43</v>
      </c>
      <c r="B32" s="191">
        <v>0.0</v>
      </c>
      <c r="C32" s="191">
        <v>0.0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91">
        <v>1.0</v>
      </c>
      <c r="S32" s="191">
        <v>1.0</v>
      </c>
      <c r="T32" s="191">
        <v>0.0</v>
      </c>
      <c r="U32" s="185">
        <v>0.0</v>
      </c>
      <c r="V32" s="185">
        <v>0.0</v>
      </c>
      <c r="W32" s="185">
        <v>0.0</v>
      </c>
      <c r="X32" s="185">
        <v>0.0</v>
      </c>
      <c r="Y32" s="185">
        <v>0.0</v>
      </c>
      <c r="Z32" s="185">
        <v>0.0</v>
      </c>
      <c r="AA32" s="189"/>
      <c r="AB32" s="189"/>
      <c r="AC32" s="189"/>
      <c r="AD32" s="189"/>
      <c r="AE32" s="189"/>
      <c r="AF32" s="147"/>
      <c r="AG32" s="147"/>
      <c r="AH32" s="147"/>
      <c r="AI32" s="147"/>
      <c r="AJ32" s="147"/>
      <c r="AK32" s="147"/>
      <c r="AL32" s="147"/>
      <c r="AM32" s="147"/>
      <c r="AN32" s="147"/>
      <c r="AO32" s="147"/>
    </row>
    <row r="33">
      <c r="A33" s="190" t="s">
        <v>44</v>
      </c>
      <c r="B33" s="195">
        <v>1.0</v>
      </c>
      <c r="C33" s="195">
        <v>1.0</v>
      </c>
      <c r="D33" s="195">
        <v>1.0</v>
      </c>
      <c r="E33" s="192">
        <f t="shared" ref="E33:Z33" si="9">(E24*0.7) + (IF(E31 &gt;= 30%, 1, 0)*0.15) + (E32*0.15)</f>
        <v>0.85</v>
      </c>
      <c r="F33" s="192">
        <f t="shared" si="9"/>
        <v>1</v>
      </c>
      <c r="G33" s="192">
        <f t="shared" si="9"/>
        <v>0.85</v>
      </c>
      <c r="H33" s="192">
        <f t="shared" si="9"/>
        <v>0.85</v>
      </c>
      <c r="I33" s="192">
        <f t="shared" si="9"/>
        <v>0.85</v>
      </c>
      <c r="J33" s="192">
        <f t="shared" si="9"/>
        <v>0.3</v>
      </c>
      <c r="K33" s="192">
        <f t="shared" si="9"/>
        <v>0.85</v>
      </c>
      <c r="L33" s="192">
        <f t="shared" si="9"/>
        <v>0.15</v>
      </c>
      <c r="M33" s="192">
        <f t="shared" si="9"/>
        <v>0.15</v>
      </c>
      <c r="N33" s="192">
        <f t="shared" si="9"/>
        <v>0.3</v>
      </c>
      <c r="O33" s="192">
        <f t="shared" si="9"/>
        <v>0.3</v>
      </c>
      <c r="P33" s="192">
        <f t="shared" si="9"/>
        <v>0.3</v>
      </c>
      <c r="Q33" s="192">
        <f t="shared" si="9"/>
        <v>0.85</v>
      </c>
      <c r="R33" s="192">
        <f t="shared" si="9"/>
        <v>1</v>
      </c>
      <c r="S33" s="192">
        <f t="shared" si="9"/>
        <v>1</v>
      </c>
      <c r="T33" s="192">
        <f t="shared" si="9"/>
        <v>0.7</v>
      </c>
      <c r="U33" s="192">
        <f t="shared" si="9"/>
        <v>0</v>
      </c>
      <c r="V33" s="192">
        <f t="shared" si="9"/>
        <v>0</v>
      </c>
      <c r="W33" s="192">
        <f t="shared" si="9"/>
        <v>0</v>
      </c>
      <c r="X33" s="192">
        <f t="shared" si="9"/>
        <v>0</v>
      </c>
      <c r="Y33" s="192">
        <f t="shared" si="9"/>
        <v>0</v>
      </c>
      <c r="Z33" s="192">
        <f t="shared" si="9"/>
        <v>0</v>
      </c>
      <c r="AA33" s="189"/>
      <c r="AB33" s="189"/>
      <c r="AC33" s="189"/>
      <c r="AD33" s="189"/>
      <c r="AE33" s="189"/>
      <c r="AF33" s="147"/>
      <c r="AG33" s="147"/>
      <c r="AH33" s="147"/>
      <c r="AI33" s="147"/>
      <c r="AJ33" s="147"/>
      <c r="AK33" s="147"/>
      <c r="AL33" s="147"/>
      <c r="AM33" s="147"/>
      <c r="AN33" s="147"/>
      <c r="AO33" s="147"/>
    </row>
    <row r="34">
      <c r="A34" s="193" t="s">
        <v>142</v>
      </c>
      <c r="B34" s="194"/>
      <c r="C34" s="138"/>
      <c r="D34" s="138"/>
      <c r="E34" s="138"/>
      <c r="F34" s="138"/>
      <c r="G34" s="138"/>
      <c r="H34" s="138"/>
      <c r="I34" s="138"/>
      <c r="N34" s="192">
        <v>0.3</v>
      </c>
      <c r="O34" s="192">
        <v>0.3</v>
      </c>
      <c r="P34" s="192">
        <v>0.3</v>
      </c>
      <c r="Q34" s="195">
        <v>0.0</v>
      </c>
      <c r="R34" s="192">
        <v>1.0</v>
      </c>
      <c r="S34" s="192">
        <v>1.0</v>
      </c>
      <c r="T34" s="31"/>
    </row>
    <row r="35">
      <c r="A35" s="702" t="s">
        <v>45</v>
      </c>
      <c r="B35" s="127"/>
      <c r="C35" s="127"/>
      <c r="D35" s="127"/>
      <c r="E35" s="127"/>
      <c r="F35" s="127"/>
      <c r="G35" s="127"/>
      <c r="H35" s="127"/>
      <c r="I35" s="127"/>
      <c r="J35" s="128"/>
      <c r="K35" s="128"/>
      <c r="L35" s="128"/>
      <c r="M35" s="128"/>
      <c r="N35" s="128"/>
      <c r="O35" s="128"/>
      <c r="P35" s="128"/>
      <c r="Q35" s="128"/>
      <c r="R35" s="128"/>
      <c r="S35" s="128"/>
      <c r="T35" s="129"/>
      <c r="U35" s="128"/>
      <c r="V35" s="128"/>
      <c r="W35" s="128"/>
      <c r="X35" s="128"/>
      <c r="Y35" s="128"/>
      <c r="Z35" s="128"/>
      <c r="AA35" s="128"/>
      <c r="AB35" s="128"/>
      <c r="AC35" s="130"/>
      <c r="AD35" s="130"/>
      <c r="AE35" s="130"/>
      <c r="AF35" s="130"/>
      <c r="AG35" s="130"/>
      <c r="AH35" s="130"/>
      <c r="AI35" s="130"/>
      <c r="AJ35" s="130"/>
      <c r="AK35" s="130"/>
      <c r="AL35" s="130"/>
      <c r="AM35" s="130"/>
      <c r="AN35" s="130"/>
      <c r="AO35" s="130"/>
    </row>
    <row r="36">
      <c r="A36" s="703" t="s">
        <v>1177</v>
      </c>
      <c r="B36" s="132"/>
      <c r="C36" s="132"/>
      <c r="D36" s="132"/>
      <c r="E36" s="132"/>
      <c r="F36" s="132"/>
      <c r="G36" s="132"/>
      <c r="H36" s="132"/>
      <c r="I36" s="132"/>
      <c r="J36" s="133"/>
      <c r="K36" s="133"/>
      <c r="L36" s="133"/>
      <c r="M36" s="133"/>
      <c r="N36" s="133"/>
      <c r="O36" s="133"/>
      <c r="P36" s="133">
        <v>32.0</v>
      </c>
      <c r="Q36" s="133">
        <v>40.0</v>
      </c>
      <c r="R36" s="133">
        <v>37.0</v>
      </c>
      <c r="S36" s="133">
        <v>41.0</v>
      </c>
      <c r="T36" s="134">
        <v>35.0</v>
      </c>
      <c r="U36" s="133">
        <v>45.0</v>
      </c>
      <c r="V36" s="133"/>
      <c r="W36" s="133"/>
      <c r="X36" s="133"/>
      <c r="Y36" s="133"/>
      <c r="Z36" s="133"/>
      <c r="AA36" s="133"/>
      <c r="AB36" s="130"/>
      <c r="AC36" s="130"/>
      <c r="AD36" s="130"/>
      <c r="AE36" s="130"/>
      <c r="AF36" s="130"/>
      <c r="AG36" s="130"/>
      <c r="AH36" s="130"/>
      <c r="AI36" s="130"/>
      <c r="AJ36" s="130"/>
      <c r="AK36" s="130"/>
      <c r="AL36" s="130"/>
      <c r="AM36" s="130"/>
      <c r="AN36" s="130"/>
      <c r="AO36" s="130"/>
    </row>
    <row r="37">
      <c r="A37" s="704" t="s">
        <v>1178</v>
      </c>
      <c r="B37" s="132">
        <v>41.0</v>
      </c>
      <c r="C37" s="132">
        <v>45.0</v>
      </c>
      <c r="D37" s="132">
        <v>47.0</v>
      </c>
      <c r="E37" s="132">
        <v>34.0</v>
      </c>
      <c r="F37" s="132">
        <v>30.0</v>
      </c>
      <c r="G37" s="132">
        <v>36.0</v>
      </c>
      <c r="H37" s="132">
        <v>47.0</v>
      </c>
      <c r="I37" s="132">
        <v>50.0</v>
      </c>
      <c r="J37" s="133">
        <v>46.0</v>
      </c>
      <c r="K37" s="133">
        <v>48.0</v>
      </c>
      <c r="L37" s="133">
        <v>41.0</v>
      </c>
      <c r="M37" s="133">
        <v>46.0</v>
      </c>
      <c r="N37" s="133">
        <v>15.0</v>
      </c>
      <c r="O37" s="133">
        <v>29.0</v>
      </c>
      <c r="P37" s="133">
        <v>51.0</v>
      </c>
      <c r="Q37" s="133">
        <v>49.0</v>
      </c>
      <c r="R37" s="133">
        <v>32.0</v>
      </c>
      <c r="S37" s="133">
        <v>37.0</v>
      </c>
      <c r="T37" s="134">
        <v>35.0</v>
      </c>
      <c r="U37" s="133">
        <v>38.0</v>
      </c>
      <c r="V37" s="133"/>
      <c r="W37" s="133"/>
      <c r="X37" s="133"/>
      <c r="Y37" s="133"/>
      <c r="Z37" s="133"/>
      <c r="AA37" s="133"/>
      <c r="AB37" s="130"/>
      <c r="AC37" s="130"/>
      <c r="AD37" s="130"/>
      <c r="AE37" s="130"/>
      <c r="AF37" s="130"/>
      <c r="AG37" s="130"/>
      <c r="AH37" s="130"/>
      <c r="AI37" s="130"/>
      <c r="AJ37" s="130"/>
      <c r="AK37" s="130"/>
      <c r="AL37" s="130"/>
      <c r="AM37" s="130"/>
      <c r="AN37" s="130"/>
      <c r="AO37" s="130"/>
    </row>
    <row r="38" ht="15.0" customHeight="1">
      <c r="A38" s="704" t="s">
        <v>1179</v>
      </c>
      <c r="B38" s="286">
        <v>38.0</v>
      </c>
      <c r="C38" s="132">
        <v>37.0</v>
      </c>
      <c r="D38" s="132">
        <v>44.0</v>
      </c>
      <c r="E38" s="132">
        <v>39.0</v>
      </c>
      <c r="F38" s="132">
        <v>40.0</v>
      </c>
      <c r="G38" s="132">
        <v>49.0</v>
      </c>
      <c r="H38" s="132">
        <v>47.0</v>
      </c>
      <c r="I38" s="132">
        <v>50.0</v>
      </c>
      <c r="J38" s="133">
        <v>42.0</v>
      </c>
      <c r="K38" s="133">
        <v>50.0</v>
      </c>
      <c r="L38" s="133">
        <v>44.0</v>
      </c>
      <c r="M38" s="133">
        <v>50.0</v>
      </c>
      <c r="N38" s="133">
        <v>44.0</v>
      </c>
      <c r="O38" s="133">
        <v>42.0</v>
      </c>
      <c r="P38" s="133">
        <v>18.0</v>
      </c>
      <c r="Q38" s="133">
        <v>36.0</v>
      </c>
      <c r="R38" s="133">
        <v>36.0</v>
      </c>
      <c r="S38" s="133">
        <v>39.0</v>
      </c>
      <c r="T38" s="134">
        <v>35.0</v>
      </c>
      <c r="U38" s="133">
        <v>34.0</v>
      </c>
      <c r="V38" s="133"/>
      <c r="W38" s="133"/>
      <c r="X38" s="133"/>
      <c r="Y38" s="133"/>
      <c r="Z38" s="133"/>
      <c r="AA38" s="133"/>
      <c r="AB38" s="130"/>
      <c r="AC38" s="130"/>
      <c r="AD38" s="130"/>
      <c r="AE38" s="130"/>
      <c r="AF38" s="130"/>
      <c r="AG38" s="130"/>
      <c r="AH38" s="130"/>
      <c r="AI38" s="130"/>
      <c r="AJ38" s="130"/>
      <c r="AK38" s="130"/>
      <c r="AL38" s="130"/>
      <c r="AM38" s="130"/>
      <c r="AN38" s="130"/>
      <c r="AO38" s="130"/>
    </row>
    <row r="39">
      <c r="A39" s="704" t="s">
        <v>1180</v>
      </c>
      <c r="B39" s="286">
        <v>15.0</v>
      </c>
      <c r="C39" s="132">
        <v>47.0</v>
      </c>
      <c r="D39" s="132">
        <v>45.0</v>
      </c>
      <c r="E39" s="132">
        <v>41.0</v>
      </c>
      <c r="F39" s="132">
        <v>49.0</v>
      </c>
      <c r="G39" s="132">
        <v>50.0</v>
      </c>
      <c r="H39" s="132">
        <v>51.0</v>
      </c>
      <c r="I39" s="132">
        <v>59.0</v>
      </c>
      <c r="J39" s="133">
        <v>41.0</v>
      </c>
      <c r="K39" s="133">
        <v>51.0</v>
      </c>
      <c r="L39" s="133">
        <v>45.0</v>
      </c>
      <c r="M39" s="133">
        <v>46.0</v>
      </c>
      <c r="N39" s="133">
        <v>46.0</v>
      </c>
      <c r="O39" s="133">
        <v>50.0</v>
      </c>
      <c r="P39" s="133">
        <v>47.0</v>
      </c>
      <c r="Q39" s="133">
        <v>36.0</v>
      </c>
      <c r="R39" s="133">
        <v>36.0</v>
      </c>
      <c r="S39" s="133">
        <v>38.0</v>
      </c>
      <c r="T39" s="134">
        <v>35.0</v>
      </c>
      <c r="U39" s="133">
        <v>34.0</v>
      </c>
      <c r="V39" s="133"/>
      <c r="W39" s="133"/>
      <c r="X39" s="133"/>
      <c r="Y39" s="133"/>
      <c r="Z39" s="133"/>
      <c r="AA39" s="133"/>
      <c r="AB39" s="130"/>
      <c r="AC39" s="130"/>
      <c r="AD39" s="130"/>
      <c r="AE39" s="130"/>
      <c r="AF39" s="130"/>
      <c r="AG39" s="130"/>
      <c r="AH39" s="130"/>
      <c r="AI39" s="130"/>
      <c r="AJ39" s="130"/>
      <c r="AK39" s="130"/>
      <c r="AL39" s="130"/>
      <c r="AM39" s="130"/>
      <c r="AN39" s="130"/>
      <c r="AO39" s="130"/>
    </row>
    <row r="40">
      <c r="A40" s="703" t="s">
        <v>1181</v>
      </c>
      <c r="B40" s="286"/>
      <c r="C40" s="132"/>
      <c r="D40" s="132"/>
      <c r="E40" s="132"/>
      <c r="F40" s="132"/>
      <c r="G40" s="132"/>
      <c r="H40" s="132"/>
      <c r="I40" s="132"/>
      <c r="J40" s="133"/>
      <c r="K40" s="133"/>
      <c r="L40" s="133"/>
      <c r="M40" s="133"/>
      <c r="N40" s="133"/>
      <c r="O40" s="133"/>
      <c r="P40" s="133"/>
      <c r="Q40" s="133"/>
      <c r="R40" s="133"/>
      <c r="S40" s="133">
        <v>13.0</v>
      </c>
      <c r="T40" s="134">
        <v>13.0</v>
      </c>
      <c r="U40" s="133">
        <v>16.0</v>
      </c>
      <c r="V40" s="133"/>
      <c r="W40" s="133"/>
      <c r="X40" s="133"/>
      <c r="Y40" s="133"/>
      <c r="Z40" s="133"/>
      <c r="AA40" s="133"/>
      <c r="AB40" s="130"/>
      <c r="AC40" s="130"/>
      <c r="AD40" s="130"/>
      <c r="AE40" s="130"/>
      <c r="AF40" s="130"/>
      <c r="AG40" s="130"/>
      <c r="AH40" s="130"/>
      <c r="AI40" s="130"/>
      <c r="AJ40" s="130"/>
      <c r="AK40" s="130"/>
      <c r="AL40" s="130"/>
      <c r="AM40" s="130"/>
      <c r="AN40" s="130"/>
      <c r="AO40" s="130"/>
    </row>
    <row r="41" hidden="1">
      <c r="A41" s="703" t="s">
        <v>896</v>
      </c>
      <c r="B41" s="636" t="s">
        <v>59</v>
      </c>
      <c r="C41" s="132">
        <v>23.0</v>
      </c>
      <c r="D41" s="132">
        <v>32.0</v>
      </c>
      <c r="E41" s="132">
        <v>39.0</v>
      </c>
      <c r="F41" s="132">
        <v>39.0</v>
      </c>
      <c r="G41" s="132">
        <v>39.0</v>
      </c>
      <c r="H41" s="132">
        <v>35.0</v>
      </c>
      <c r="I41" s="132">
        <v>52.0</v>
      </c>
      <c r="J41" s="199">
        <v>41.0</v>
      </c>
      <c r="K41" s="133">
        <v>43.0</v>
      </c>
      <c r="L41" s="133">
        <v>21.0</v>
      </c>
      <c r="M41" s="133">
        <v>49.0</v>
      </c>
      <c r="N41" s="133">
        <v>41.0</v>
      </c>
      <c r="O41" s="133">
        <v>50.0</v>
      </c>
      <c r="P41" s="133">
        <v>46.0</v>
      </c>
      <c r="Q41" s="133" t="s">
        <v>59</v>
      </c>
      <c r="R41" s="133"/>
      <c r="S41" s="133"/>
      <c r="T41" s="134"/>
      <c r="U41" s="133"/>
      <c r="V41" s="133"/>
      <c r="W41" s="133"/>
      <c r="X41" s="133"/>
      <c r="Y41" s="133"/>
      <c r="Z41" s="133"/>
      <c r="AA41" s="133"/>
      <c r="AB41" s="130"/>
      <c r="AC41" s="130"/>
      <c r="AD41" s="130"/>
      <c r="AE41" s="130"/>
      <c r="AF41" s="130"/>
      <c r="AG41" s="130"/>
      <c r="AH41" s="130"/>
      <c r="AI41" s="130"/>
      <c r="AJ41" s="130"/>
      <c r="AK41" s="130"/>
      <c r="AL41" s="130"/>
      <c r="AM41" s="130"/>
      <c r="AN41" s="130"/>
      <c r="AO41" s="130"/>
    </row>
    <row r="42">
      <c r="A42" s="705" t="s">
        <v>1182</v>
      </c>
      <c r="B42" s="706">
        <v>39.0</v>
      </c>
      <c r="C42" s="707">
        <v>39.0</v>
      </c>
      <c r="D42" s="707">
        <v>40.0</v>
      </c>
      <c r="E42" s="707">
        <v>39.0</v>
      </c>
      <c r="F42" s="707">
        <v>42.0</v>
      </c>
      <c r="G42" s="707">
        <v>46.0</v>
      </c>
      <c r="H42" s="707">
        <v>15.0</v>
      </c>
      <c r="I42" s="707">
        <v>48.0</v>
      </c>
      <c r="J42" s="708">
        <v>39.0</v>
      </c>
      <c r="K42" s="708">
        <v>50.0</v>
      </c>
      <c r="L42" s="708">
        <v>50.0</v>
      </c>
      <c r="M42" s="708">
        <v>45.0</v>
      </c>
      <c r="N42" s="708">
        <v>49.0</v>
      </c>
      <c r="O42" s="708">
        <v>46.0</v>
      </c>
      <c r="P42" s="708">
        <v>50.0</v>
      </c>
      <c r="Q42" s="708">
        <v>32.0</v>
      </c>
      <c r="R42" s="708">
        <v>32.0</v>
      </c>
      <c r="S42" s="708">
        <v>5.0</v>
      </c>
      <c r="T42" s="709">
        <v>35.0</v>
      </c>
      <c r="U42" s="708">
        <v>37.0</v>
      </c>
      <c r="V42" s="708"/>
      <c r="W42" s="708"/>
      <c r="X42" s="708"/>
      <c r="Y42" s="708"/>
      <c r="Z42" s="708"/>
      <c r="AA42" s="708"/>
      <c r="AB42" s="710"/>
      <c r="AC42" s="710"/>
      <c r="AD42" s="710"/>
      <c r="AE42" s="710"/>
      <c r="AF42" s="710"/>
      <c r="AG42" s="710"/>
      <c r="AH42" s="710"/>
      <c r="AI42" s="710"/>
      <c r="AJ42" s="710"/>
      <c r="AK42" s="710"/>
      <c r="AL42" s="710"/>
      <c r="AM42" s="130"/>
      <c r="AN42" s="130"/>
      <c r="AO42" s="130"/>
    </row>
    <row r="43" hidden="1">
      <c r="A43" s="705" t="s">
        <v>1183</v>
      </c>
      <c r="B43" s="706" t="s">
        <v>59</v>
      </c>
      <c r="C43" s="707">
        <v>20.0</v>
      </c>
      <c r="D43" s="707">
        <v>27.0</v>
      </c>
      <c r="E43" s="707">
        <v>25.0</v>
      </c>
      <c r="F43" s="707">
        <v>9.0</v>
      </c>
      <c r="G43" s="707">
        <v>6.0</v>
      </c>
      <c r="H43" s="707" t="s">
        <v>59</v>
      </c>
      <c r="I43" s="711"/>
      <c r="J43" s="710"/>
      <c r="K43" s="710"/>
      <c r="L43" s="710"/>
      <c r="M43" s="710"/>
      <c r="N43" s="710"/>
      <c r="O43" s="710"/>
      <c r="P43" s="708"/>
      <c r="Q43" s="708"/>
      <c r="R43" s="708"/>
      <c r="S43" s="708"/>
      <c r="T43" s="708"/>
      <c r="U43" s="708"/>
      <c r="V43" s="708"/>
      <c r="W43" s="708"/>
      <c r="X43" s="708"/>
      <c r="Y43" s="708"/>
      <c r="Z43" s="708"/>
      <c r="AA43" s="708"/>
      <c r="AB43" s="710"/>
      <c r="AC43" s="710"/>
      <c r="AD43" s="710"/>
      <c r="AE43" s="710"/>
      <c r="AF43" s="710"/>
      <c r="AG43" s="710"/>
      <c r="AH43" s="710"/>
      <c r="AI43" s="710"/>
      <c r="AJ43" s="710"/>
      <c r="AK43" s="710"/>
      <c r="AL43" s="710"/>
      <c r="AM43" s="130"/>
      <c r="AN43" s="130"/>
      <c r="AO43" s="130"/>
    </row>
    <row r="44" hidden="1">
      <c r="A44" s="712" t="s">
        <v>1184</v>
      </c>
      <c r="B44" s="713">
        <v>31.0</v>
      </c>
      <c r="C44" s="707"/>
      <c r="D44" s="711"/>
      <c r="E44" s="711"/>
      <c r="F44" s="711"/>
      <c r="G44" s="711"/>
      <c r="H44" s="711"/>
      <c r="I44" s="711"/>
      <c r="J44" s="710"/>
      <c r="K44" s="710"/>
      <c r="L44" s="710"/>
      <c r="M44" s="710"/>
      <c r="N44" s="710"/>
      <c r="O44" s="710"/>
      <c r="P44" s="708"/>
      <c r="Q44" s="708"/>
      <c r="R44" s="708"/>
      <c r="S44" s="708"/>
      <c r="T44" s="708"/>
      <c r="U44" s="708"/>
      <c r="V44" s="708"/>
      <c r="W44" s="708"/>
      <c r="X44" s="708"/>
      <c r="Y44" s="708"/>
      <c r="Z44" s="708"/>
      <c r="AA44" s="708"/>
      <c r="AB44" s="710"/>
      <c r="AC44" s="710"/>
      <c r="AD44" s="710"/>
      <c r="AE44" s="710"/>
      <c r="AF44" s="710"/>
      <c r="AG44" s="710"/>
      <c r="AH44" s="710"/>
      <c r="AI44" s="710"/>
      <c r="AJ44" s="710"/>
      <c r="AK44" s="710"/>
      <c r="AL44" s="710"/>
      <c r="AM44" s="130"/>
      <c r="AN44" s="130"/>
      <c r="AO44" s="130"/>
    </row>
    <row r="45">
      <c r="A45" s="704" t="s">
        <v>1185</v>
      </c>
      <c r="B45" s="286">
        <v>8.0</v>
      </c>
      <c r="C45" s="132">
        <v>6.0</v>
      </c>
      <c r="D45" s="132">
        <v>8.0</v>
      </c>
      <c r="E45" s="132">
        <v>8.0</v>
      </c>
      <c r="F45" s="132">
        <v>8.0</v>
      </c>
      <c r="G45" s="132">
        <v>8.0</v>
      </c>
      <c r="H45" s="132">
        <v>8.0</v>
      </c>
      <c r="I45" s="132">
        <v>11.0</v>
      </c>
      <c r="J45" s="133">
        <v>5.0</v>
      </c>
      <c r="K45" s="133">
        <v>3.0</v>
      </c>
      <c r="L45" s="133">
        <v>8.0</v>
      </c>
      <c r="M45" s="133">
        <v>8.0</v>
      </c>
      <c r="N45" s="133">
        <v>8.0</v>
      </c>
      <c r="O45" s="133">
        <v>9.0</v>
      </c>
      <c r="P45" s="133">
        <v>11.0</v>
      </c>
      <c r="Q45" s="133">
        <v>11.0</v>
      </c>
      <c r="R45" s="133">
        <v>0.0</v>
      </c>
      <c r="S45" s="133">
        <v>6.0</v>
      </c>
      <c r="T45" s="134">
        <v>5.0</v>
      </c>
      <c r="U45" s="133">
        <v>0.0</v>
      </c>
      <c r="V45" s="133"/>
      <c r="W45" s="133"/>
      <c r="X45" s="133"/>
      <c r="Y45" s="133"/>
      <c r="Z45" s="133"/>
      <c r="AA45" s="133"/>
      <c r="AB45" s="130"/>
      <c r="AC45" s="130"/>
      <c r="AD45" s="130"/>
      <c r="AE45" s="130"/>
      <c r="AF45" s="130"/>
      <c r="AG45" s="130"/>
      <c r="AH45" s="130"/>
      <c r="AI45" s="130"/>
      <c r="AJ45" s="130"/>
      <c r="AK45" s="130"/>
      <c r="AL45" s="130"/>
      <c r="AM45" s="130"/>
      <c r="AN45" s="130"/>
      <c r="AO45" s="130"/>
    </row>
    <row r="46">
      <c r="A46" s="704" t="s">
        <v>1186</v>
      </c>
      <c r="B46" s="286">
        <v>16.0</v>
      </c>
      <c r="C46" s="132">
        <v>15.0</v>
      </c>
      <c r="D46" s="132">
        <v>18.0</v>
      </c>
      <c r="E46" s="132">
        <v>20.0</v>
      </c>
      <c r="F46" s="132">
        <v>14.0</v>
      </c>
      <c r="G46" s="132">
        <v>15.0</v>
      </c>
      <c r="H46" s="132">
        <v>14.0</v>
      </c>
      <c r="I46" s="132">
        <v>16.0</v>
      </c>
      <c r="J46" s="133">
        <v>12.0</v>
      </c>
      <c r="K46" s="133">
        <v>21.0</v>
      </c>
      <c r="L46" s="133">
        <v>11.0</v>
      </c>
      <c r="M46" s="133">
        <v>16.0</v>
      </c>
      <c r="N46" s="133">
        <v>13.0</v>
      </c>
      <c r="O46" s="133">
        <v>21.0</v>
      </c>
      <c r="P46" s="133">
        <v>15.0</v>
      </c>
      <c r="Q46" s="133">
        <v>13.0</v>
      </c>
      <c r="R46" s="133">
        <v>13.0</v>
      </c>
      <c r="S46" s="133">
        <v>14.0</v>
      </c>
      <c r="T46" s="134">
        <v>10.0</v>
      </c>
      <c r="U46" s="133">
        <v>8.0</v>
      </c>
      <c r="V46" s="133"/>
      <c r="W46" s="133"/>
      <c r="X46" s="133"/>
      <c r="Y46" s="133"/>
      <c r="Z46" s="133"/>
      <c r="AA46" s="133"/>
      <c r="AB46" s="130"/>
      <c r="AC46" s="130"/>
      <c r="AD46" s="130"/>
      <c r="AE46" s="130"/>
      <c r="AF46" s="130"/>
      <c r="AG46" s="130"/>
      <c r="AH46" s="130"/>
      <c r="AI46" s="130"/>
      <c r="AJ46" s="130"/>
      <c r="AK46" s="130"/>
      <c r="AL46" s="130"/>
      <c r="AM46" s="130"/>
      <c r="AN46" s="130"/>
      <c r="AO46" s="130"/>
    </row>
    <row r="47">
      <c r="A47" s="704" t="s">
        <v>1187</v>
      </c>
      <c r="B47" s="286">
        <v>9.0</v>
      </c>
      <c r="C47" s="132">
        <v>10.0</v>
      </c>
      <c r="D47" s="132">
        <v>8.0</v>
      </c>
      <c r="E47" s="132">
        <v>8.0</v>
      </c>
      <c r="F47" s="132">
        <v>9.0</v>
      </c>
      <c r="G47" s="132">
        <v>8.0</v>
      </c>
      <c r="H47" s="132">
        <v>8.0</v>
      </c>
      <c r="I47" s="132">
        <v>8.0</v>
      </c>
      <c r="J47" s="133">
        <v>8.0</v>
      </c>
      <c r="K47" s="133">
        <v>5.0</v>
      </c>
      <c r="L47" s="133">
        <v>5.0</v>
      </c>
      <c r="M47" s="133">
        <v>8.0</v>
      </c>
      <c r="N47" s="133">
        <v>10.0</v>
      </c>
      <c r="O47" s="133">
        <v>10.0</v>
      </c>
      <c r="P47" s="133">
        <v>12.0</v>
      </c>
      <c r="Q47" s="133">
        <v>10.0</v>
      </c>
      <c r="R47" s="133">
        <v>11.0</v>
      </c>
      <c r="S47" s="133">
        <v>8.0</v>
      </c>
      <c r="T47" s="134">
        <v>5.0</v>
      </c>
      <c r="U47" s="133">
        <v>7.0</v>
      </c>
      <c r="V47" s="133"/>
      <c r="W47" s="133"/>
      <c r="X47" s="133"/>
      <c r="Y47" s="133"/>
      <c r="Z47" s="133"/>
      <c r="AA47" s="133"/>
      <c r="AB47" s="130"/>
      <c r="AC47" s="130"/>
      <c r="AD47" s="130"/>
      <c r="AE47" s="130"/>
      <c r="AF47" s="130"/>
      <c r="AG47" s="130"/>
      <c r="AH47" s="130"/>
      <c r="AI47" s="130"/>
      <c r="AJ47" s="130"/>
      <c r="AK47" s="130"/>
      <c r="AL47" s="130"/>
      <c r="AM47" s="130"/>
      <c r="AN47" s="130"/>
      <c r="AO47" s="130"/>
    </row>
    <row r="48">
      <c r="A48" s="702" t="s">
        <v>46</v>
      </c>
      <c r="B48" s="127"/>
      <c r="C48" s="127"/>
      <c r="D48" s="127"/>
      <c r="E48" s="127"/>
      <c r="F48" s="127"/>
      <c r="G48" s="127"/>
      <c r="H48" s="127"/>
      <c r="I48" s="127"/>
      <c r="J48" s="128"/>
      <c r="K48" s="128"/>
      <c r="L48" s="128"/>
      <c r="M48" s="128"/>
      <c r="N48" s="128"/>
      <c r="O48" s="128"/>
      <c r="P48" s="128"/>
      <c r="Q48" s="128"/>
      <c r="R48" s="128"/>
      <c r="S48" s="128"/>
      <c r="T48" s="129"/>
      <c r="U48" s="128"/>
      <c r="V48" s="128"/>
      <c r="W48" s="128"/>
      <c r="X48" s="128"/>
      <c r="Y48" s="128"/>
      <c r="Z48" s="128"/>
      <c r="AA48" s="128"/>
      <c r="AB48" s="128"/>
      <c r="AC48" s="130"/>
      <c r="AD48" s="130"/>
      <c r="AE48" s="130"/>
      <c r="AF48" s="130"/>
      <c r="AG48" s="130"/>
      <c r="AH48" s="130"/>
      <c r="AI48" s="130"/>
      <c r="AJ48" s="130"/>
      <c r="AK48" s="130"/>
      <c r="AL48" s="130"/>
      <c r="AM48" s="130"/>
      <c r="AN48" s="130"/>
      <c r="AO48" s="130"/>
    </row>
    <row r="49">
      <c r="A49" s="703" t="s">
        <v>1177</v>
      </c>
      <c r="B49" s="132"/>
      <c r="C49" s="132"/>
      <c r="D49" s="132"/>
      <c r="E49" s="132"/>
      <c r="F49" s="132"/>
      <c r="G49" s="132"/>
      <c r="H49" s="132"/>
      <c r="I49" s="132"/>
      <c r="J49" s="133"/>
      <c r="K49" s="133"/>
      <c r="L49" s="199"/>
      <c r="M49" s="133"/>
      <c r="N49" s="133"/>
      <c r="O49" s="133"/>
      <c r="P49" s="133">
        <v>16.0</v>
      </c>
      <c r="Q49" s="133">
        <v>45.0</v>
      </c>
      <c r="R49" s="133">
        <v>66.0</v>
      </c>
      <c r="S49" s="133">
        <v>41.0</v>
      </c>
      <c r="T49" s="134">
        <v>36.0</v>
      </c>
      <c r="U49" s="133"/>
      <c r="V49" s="133"/>
      <c r="W49" s="133"/>
      <c r="X49" s="133"/>
      <c r="Y49" s="133"/>
      <c r="Z49" s="133"/>
      <c r="AA49" s="130"/>
      <c r="AB49" s="130"/>
      <c r="AC49" s="130"/>
      <c r="AD49" s="130"/>
      <c r="AE49" s="130"/>
      <c r="AF49" s="130"/>
      <c r="AG49" s="130"/>
      <c r="AH49" s="130"/>
      <c r="AI49" s="130"/>
      <c r="AJ49" s="130"/>
      <c r="AK49" s="130"/>
      <c r="AL49" s="130"/>
      <c r="AM49" s="130"/>
      <c r="AN49" s="130"/>
      <c r="AO49" s="130"/>
    </row>
    <row r="50">
      <c r="A50" s="704" t="s">
        <v>1178</v>
      </c>
      <c r="B50" s="132">
        <v>38.0</v>
      </c>
      <c r="C50" s="132">
        <v>34.0</v>
      </c>
      <c r="D50" s="132">
        <v>36.0</v>
      </c>
      <c r="E50" s="132">
        <v>26.0</v>
      </c>
      <c r="F50" s="132">
        <v>36.0</v>
      </c>
      <c r="G50" s="132">
        <v>47.0</v>
      </c>
      <c r="H50" s="132">
        <v>48.0</v>
      </c>
      <c r="I50" s="132">
        <v>42.0</v>
      </c>
      <c r="J50" s="133">
        <v>29.0</v>
      </c>
      <c r="K50" s="133">
        <v>31.0</v>
      </c>
      <c r="L50" s="199">
        <v>44.0</v>
      </c>
      <c r="M50" s="133">
        <v>40.0</v>
      </c>
      <c r="N50" s="133">
        <v>17.0</v>
      </c>
      <c r="O50" s="133">
        <v>34.0</v>
      </c>
      <c r="P50" s="133">
        <v>50.0</v>
      </c>
      <c r="Q50" s="133">
        <v>49.0</v>
      </c>
      <c r="R50" s="133">
        <v>15.0</v>
      </c>
      <c r="S50" s="133">
        <v>27.0</v>
      </c>
      <c r="T50" s="134">
        <v>29.0</v>
      </c>
      <c r="U50" s="133"/>
      <c r="V50" s="133"/>
      <c r="W50" s="133"/>
      <c r="X50" s="133"/>
      <c r="Y50" s="133"/>
      <c r="Z50" s="133"/>
      <c r="AA50" s="130"/>
      <c r="AB50" s="130"/>
      <c r="AC50" s="130"/>
      <c r="AD50" s="130"/>
      <c r="AE50" s="130"/>
      <c r="AF50" s="130"/>
      <c r="AG50" s="130"/>
      <c r="AH50" s="130"/>
      <c r="AI50" s="130"/>
      <c r="AJ50" s="130"/>
      <c r="AK50" s="130"/>
      <c r="AL50" s="130"/>
      <c r="AM50" s="130"/>
      <c r="AN50" s="130"/>
      <c r="AO50" s="130"/>
    </row>
    <row r="51">
      <c r="A51" s="704" t="s">
        <v>1179</v>
      </c>
      <c r="B51" s="132">
        <v>33.0</v>
      </c>
      <c r="C51" s="132">
        <v>13.0</v>
      </c>
      <c r="D51" s="132">
        <v>21.0</v>
      </c>
      <c r="E51" s="132">
        <v>17.0</v>
      </c>
      <c r="F51" s="132">
        <v>44.0</v>
      </c>
      <c r="G51" s="132">
        <v>46.0</v>
      </c>
      <c r="H51" s="132">
        <v>47.0</v>
      </c>
      <c r="I51" s="132">
        <v>41.0</v>
      </c>
      <c r="J51" s="133">
        <v>54.0</v>
      </c>
      <c r="K51" s="133">
        <v>36.0</v>
      </c>
      <c r="L51" s="199">
        <v>47.0</v>
      </c>
      <c r="M51" s="133">
        <v>48.0</v>
      </c>
      <c r="N51" s="133">
        <v>25.0</v>
      </c>
      <c r="O51" s="133">
        <v>29.0</v>
      </c>
      <c r="P51" s="133">
        <v>10.0</v>
      </c>
      <c r="Q51" s="133">
        <v>20.0</v>
      </c>
      <c r="R51" s="133">
        <v>19.0</v>
      </c>
      <c r="S51" s="133">
        <v>46.0</v>
      </c>
      <c r="T51" s="134">
        <v>22.0</v>
      </c>
      <c r="U51" s="130"/>
      <c r="V51" s="130"/>
      <c r="W51" s="130"/>
      <c r="X51" s="130"/>
      <c r="Y51" s="130"/>
      <c r="Z51" s="130"/>
      <c r="AA51" s="130"/>
      <c r="AB51" s="130"/>
      <c r="AC51" s="130"/>
      <c r="AD51" s="130"/>
      <c r="AE51" s="130"/>
      <c r="AF51" s="130"/>
      <c r="AG51" s="130"/>
      <c r="AH51" s="130"/>
      <c r="AI51" s="130"/>
      <c r="AJ51" s="130"/>
      <c r="AK51" s="130"/>
      <c r="AL51" s="130"/>
      <c r="AM51" s="130"/>
      <c r="AN51" s="130"/>
      <c r="AO51" s="130"/>
    </row>
    <row r="52">
      <c r="A52" s="704" t="s">
        <v>1180</v>
      </c>
      <c r="B52" s="137">
        <v>15.0</v>
      </c>
      <c r="C52" s="132">
        <v>23.0</v>
      </c>
      <c r="D52" s="132">
        <v>32.0</v>
      </c>
      <c r="E52" s="132">
        <v>25.0</v>
      </c>
      <c r="F52" s="132">
        <v>36.0</v>
      </c>
      <c r="G52" s="132">
        <v>42.0</v>
      </c>
      <c r="H52" s="132">
        <v>31.0</v>
      </c>
      <c r="I52" s="132">
        <v>57.0</v>
      </c>
      <c r="J52" s="133">
        <v>51.0</v>
      </c>
      <c r="K52" s="133">
        <v>40.0</v>
      </c>
      <c r="L52" s="199">
        <v>16.0</v>
      </c>
      <c r="M52" s="133">
        <v>37.0</v>
      </c>
      <c r="N52" s="133">
        <v>46.0</v>
      </c>
      <c r="O52" s="199">
        <v>47.0</v>
      </c>
      <c r="P52" s="133">
        <v>11.0</v>
      </c>
      <c r="Q52" s="199">
        <v>24.0</v>
      </c>
      <c r="R52" s="133">
        <v>34.0</v>
      </c>
      <c r="S52" s="133">
        <v>36.0</v>
      </c>
      <c r="T52" s="134">
        <v>7.0</v>
      </c>
      <c r="U52" s="130"/>
      <c r="V52" s="130"/>
      <c r="W52" s="130"/>
      <c r="X52" s="130"/>
      <c r="Y52" s="130"/>
      <c r="Z52" s="130"/>
      <c r="AA52" s="130"/>
      <c r="AB52" s="130"/>
      <c r="AC52" s="130"/>
      <c r="AD52" s="130"/>
      <c r="AE52" s="130"/>
      <c r="AF52" s="130"/>
      <c r="AG52" s="130"/>
      <c r="AH52" s="130"/>
      <c r="AI52" s="130"/>
      <c r="AJ52" s="130"/>
      <c r="AK52" s="130"/>
      <c r="AL52" s="130"/>
      <c r="AM52" s="130"/>
      <c r="AN52" s="130"/>
      <c r="AO52" s="130"/>
    </row>
    <row r="53" hidden="1">
      <c r="A53" s="704" t="s">
        <v>1184</v>
      </c>
      <c r="B53" s="137">
        <v>31.0</v>
      </c>
      <c r="C53" s="132"/>
      <c r="D53" s="132"/>
      <c r="E53" s="132"/>
      <c r="F53" s="132"/>
      <c r="G53" s="132"/>
      <c r="H53" s="132"/>
      <c r="I53" s="132"/>
      <c r="J53" s="133"/>
      <c r="K53" s="133"/>
      <c r="M53" s="133"/>
      <c r="N53" s="133"/>
      <c r="O53" s="133"/>
      <c r="P53" s="133"/>
      <c r="Q53" s="133"/>
      <c r="R53" s="133"/>
      <c r="S53" s="133"/>
      <c r="T53" s="134"/>
      <c r="U53" s="133"/>
      <c r="V53" s="133"/>
      <c r="W53" s="133"/>
      <c r="X53" s="133"/>
      <c r="Y53" s="133"/>
      <c r="Z53" s="133"/>
      <c r="AA53" s="130"/>
      <c r="AB53" s="130"/>
      <c r="AC53" s="130"/>
      <c r="AD53" s="130"/>
      <c r="AE53" s="130"/>
      <c r="AF53" s="130"/>
      <c r="AG53" s="130"/>
      <c r="AH53" s="130"/>
      <c r="AI53" s="130"/>
      <c r="AJ53" s="130"/>
      <c r="AK53" s="130"/>
      <c r="AL53" s="130"/>
      <c r="AM53" s="130"/>
      <c r="AN53" s="130"/>
      <c r="AO53" s="130"/>
    </row>
    <row r="54">
      <c r="A54" s="703" t="s">
        <v>1181</v>
      </c>
      <c r="B54" s="137"/>
      <c r="C54" s="132"/>
      <c r="D54" s="132"/>
      <c r="E54" s="132"/>
      <c r="F54" s="132"/>
      <c r="G54" s="132"/>
      <c r="H54" s="132"/>
      <c r="I54" s="132"/>
      <c r="J54" s="133"/>
      <c r="K54" s="133"/>
      <c r="L54" s="199"/>
      <c r="M54" s="133"/>
      <c r="N54" s="133"/>
      <c r="O54" s="133"/>
      <c r="P54" s="133"/>
      <c r="Q54" s="133"/>
      <c r="R54" s="133"/>
      <c r="S54" s="133">
        <v>13.0</v>
      </c>
      <c r="T54" s="134">
        <v>0.0</v>
      </c>
      <c r="U54" s="133"/>
      <c r="V54" s="133"/>
      <c r="W54" s="133"/>
      <c r="X54" s="133"/>
      <c r="Y54" s="133"/>
      <c r="Z54" s="133"/>
      <c r="AA54" s="130"/>
      <c r="AB54" s="130"/>
      <c r="AC54" s="130"/>
      <c r="AD54" s="130"/>
      <c r="AE54" s="130"/>
      <c r="AF54" s="130"/>
      <c r="AG54" s="130"/>
      <c r="AH54" s="130"/>
      <c r="AI54" s="130"/>
      <c r="AJ54" s="130"/>
      <c r="AK54" s="130"/>
      <c r="AL54" s="130"/>
      <c r="AM54" s="130"/>
      <c r="AN54" s="130"/>
      <c r="AO54" s="130"/>
    </row>
    <row r="55">
      <c r="A55" s="705" t="s">
        <v>1182</v>
      </c>
      <c r="B55" s="714">
        <v>18.0</v>
      </c>
      <c r="C55" s="707">
        <v>31.0</v>
      </c>
      <c r="D55" s="707">
        <v>46.0</v>
      </c>
      <c r="E55" s="707">
        <v>42.0</v>
      </c>
      <c r="F55" s="707">
        <v>42.0</v>
      </c>
      <c r="G55" s="707">
        <v>51.0</v>
      </c>
      <c r="H55" s="707">
        <v>12.0</v>
      </c>
      <c r="I55" s="707">
        <v>43.0</v>
      </c>
      <c r="J55" s="708">
        <v>51.0</v>
      </c>
      <c r="K55" s="708">
        <v>44.0</v>
      </c>
      <c r="L55" s="715">
        <v>39.0</v>
      </c>
      <c r="M55" s="708">
        <v>35.0</v>
      </c>
      <c r="N55" s="708">
        <v>37.0</v>
      </c>
      <c r="O55" s="708">
        <v>25.0</v>
      </c>
      <c r="P55" s="708">
        <v>33.0</v>
      </c>
      <c r="Q55" s="708">
        <v>25.0</v>
      </c>
      <c r="R55" s="708">
        <v>31.0</v>
      </c>
      <c r="S55" s="708">
        <v>0.0</v>
      </c>
      <c r="T55" s="134">
        <v>34.0</v>
      </c>
      <c r="U55" s="708"/>
      <c r="V55" s="708"/>
      <c r="W55" s="708"/>
      <c r="X55" s="708"/>
      <c r="Y55" s="708"/>
      <c r="Z55" s="708"/>
      <c r="AA55" s="710"/>
      <c r="AB55" s="710"/>
      <c r="AC55" s="710"/>
      <c r="AD55" s="710"/>
      <c r="AE55" s="710"/>
      <c r="AF55" s="710"/>
      <c r="AG55" s="710"/>
      <c r="AH55" s="710"/>
      <c r="AI55" s="710"/>
      <c r="AJ55" s="710"/>
      <c r="AK55" s="710"/>
      <c r="AL55" s="710"/>
      <c r="AM55" s="130"/>
      <c r="AN55" s="130"/>
      <c r="AO55" s="130"/>
    </row>
    <row r="56" hidden="1">
      <c r="A56" s="704" t="s">
        <v>1183</v>
      </c>
      <c r="B56" s="485" t="s">
        <v>59</v>
      </c>
      <c r="C56" s="136">
        <v>12.0</v>
      </c>
      <c r="D56" s="136">
        <v>10.0</v>
      </c>
      <c r="E56" s="136">
        <v>0.0</v>
      </c>
      <c r="F56" s="136">
        <v>6.0</v>
      </c>
      <c r="G56" s="136">
        <v>3.0</v>
      </c>
      <c r="H56" s="136"/>
      <c r="I56" s="136"/>
      <c r="J56" s="200"/>
      <c r="K56" s="200"/>
      <c r="M56" s="200"/>
      <c r="N56" s="200"/>
      <c r="O56" s="200"/>
      <c r="P56" s="200"/>
      <c r="Q56" s="200"/>
      <c r="R56" s="200"/>
      <c r="S56" s="200"/>
      <c r="T56" s="134"/>
      <c r="U56" s="200"/>
      <c r="V56" s="200"/>
      <c r="W56" s="200"/>
      <c r="X56" s="200"/>
      <c r="Y56" s="200"/>
      <c r="Z56" s="200"/>
      <c r="AA56" s="291"/>
      <c r="AB56" s="291"/>
      <c r="AC56" s="291"/>
      <c r="AD56" s="291"/>
      <c r="AE56" s="291"/>
      <c r="AF56" s="291"/>
      <c r="AG56" s="291"/>
      <c r="AH56" s="291"/>
      <c r="AI56" s="291"/>
      <c r="AJ56" s="291"/>
      <c r="AK56" s="291"/>
      <c r="AL56" s="291"/>
      <c r="AM56" s="291"/>
      <c r="AN56" s="291"/>
      <c r="AO56" s="291"/>
    </row>
    <row r="57" hidden="1">
      <c r="A57" s="712" t="s">
        <v>896</v>
      </c>
      <c r="B57" s="716" t="s">
        <v>59</v>
      </c>
      <c r="C57" s="717">
        <v>29.0</v>
      </c>
      <c r="D57" s="717">
        <v>27.0</v>
      </c>
      <c r="E57" s="717">
        <v>28.0</v>
      </c>
      <c r="F57" s="717">
        <v>28.0</v>
      </c>
      <c r="G57" s="717">
        <v>26.0</v>
      </c>
      <c r="H57" s="717">
        <v>28.0</v>
      </c>
      <c r="I57" s="717">
        <v>38.0</v>
      </c>
      <c r="J57" s="718">
        <v>22.0</v>
      </c>
      <c r="K57" s="718">
        <v>45.0</v>
      </c>
      <c r="L57" s="199">
        <v>2.0</v>
      </c>
      <c r="M57" s="718">
        <v>12.0</v>
      </c>
      <c r="N57" s="718">
        <v>25.0</v>
      </c>
      <c r="O57" s="718">
        <v>16.0</v>
      </c>
      <c r="P57" s="718">
        <v>40.0</v>
      </c>
      <c r="Q57" s="718"/>
      <c r="R57" s="718"/>
      <c r="S57" s="718"/>
      <c r="T57" s="134"/>
      <c r="U57" s="718"/>
      <c r="V57" s="718"/>
      <c r="W57" s="718"/>
      <c r="X57" s="718"/>
      <c r="Y57" s="718"/>
      <c r="Z57" s="718"/>
      <c r="AA57" s="719"/>
      <c r="AB57" s="719"/>
      <c r="AC57" s="719"/>
      <c r="AD57" s="719"/>
      <c r="AE57" s="719"/>
      <c r="AF57" s="719"/>
      <c r="AG57" s="719"/>
      <c r="AH57" s="719"/>
      <c r="AI57" s="719"/>
      <c r="AJ57" s="719"/>
      <c r="AK57" s="719"/>
      <c r="AL57" s="719"/>
      <c r="AM57" s="291"/>
      <c r="AN57" s="291"/>
      <c r="AO57" s="291"/>
    </row>
    <row r="58">
      <c r="A58" s="704" t="s">
        <v>1185</v>
      </c>
      <c r="B58" s="137">
        <v>8.0</v>
      </c>
      <c r="C58" s="132">
        <v>3.0</v>
      </c>
      <c r="D58" s="132">
        <v>10.0</v>
      </c>
      <c r="E58" s="132">
        <v>8.0</v>
      </c>
      <c r="F58" s="132">
        <v>8.0</v>
      </c>
      <c r="G58" s="132">
        <v>2.0</v>
      </c>
      <c r="H58" s="132">
        <v>8.0</v>
      </c>
      <c r="I58" s="132">
        <v>8.0</v>
      </c>
      <c r="J58" s="133">
        <v>2.0</v>
      </c>
      <c r="K58" s="133">
        <v>0.0</v>
      </c>
      <c r="L58" s="720">
        <v>0.0</v>
      </c>
      <c r="M58" s="133">
        <v>0.0</v>
      </c>
      <c r="N58" s="133">
        <v>8.0</v>
      </c>
      <c r="O58" s="133">
        <v>9.0</v>
      </c>
      <c r="P58" s="133">
        <v>8.0</v>
      </c>
      <c r="Q58" s="133">
        <v>0.0</v>
      </c>
      <c r="R58" s="133">
        <v>0.0</v>
      </c>
      <c r="S58" s="550">
        <v>0.0</v>
      </c>
      <c r="T58" s="721">
        <v>0.0</v>
      </c>
      <c r="U58" s="133"/>
      <c r="V58" s="133"/>
      <c r="W58" s="133"/>
      <c r="X58" s="133"/>
      <c r="Y58" s="133"/>
      <c r="Z58" s="133"/>
      <c r="AA58" s="130"/>
      <c r="AB58" s="130"/>
      <c r="AC58" s="130"/>
      <c r="AD58" s="130"/>
      <c r="AE58" s="130"/>
      <c r="AF58" s="130"/>
      <c r="AG58" s="130"/>
      <c r="AH58" s="130"/>
      <c r="AI58" s="130"/>
      <c r="AJ58" s="130"/>
      <c r="AK58" s="130"/>
      <c r="AL58" s="130"/>
      <c r="AM58" s="130"/>
      <c r="AN58" s="130"/>
      <c r="AO58" s="130"/>
    </row>
    <row r="59">
      <c r="A59" s="704" t="s">
        <v>1186</v>
      </c>
      <c r="B59" s="137">
        <v>8.0</v>
      </c>
      <c r="C59" s="132">
        <v>8.0</v>
      </c>
      <c r="D59" s="132">
        <v>15.0</v>
      </c>
      <c r="E59" s="132">
        <v>0.0</v>
      </c>
      <c r="F59" s="132">
        <v>10.0</v>
      </c>
      <c r="G59" s="132">
        <v>12.0</v>
      </c>
      <c r="H59" s="132">
        <v>11.0</v>
      </c>
      <c r="I59" s="132">
        <v>12.0</v>
      </c>
      <c r="J59" s="199">
        <v>10.0</v>
      </c>
      <c r="K59" s="133">
        <v>16.0</v>
      </c>
      <c r="L59" s="133">
        <v>0.0</v>
      </c>
      <c r="M59" s="133">
        <v>0.0</v>
      </c>
      <c r="N59" s="133">
        <v>0.0</v>
      </c>
      <c r="O59" s="133">
        <v>14.0</v>
      </c>
      <c r="P59" s="133">
        <v>0.0</v>
      </c>
      <c r="Q59" s="133">
        <v>5.0</v>
      </c>
      <c r="R59" s="133">
        <v>0.0</v>
      </c>
      <c r="S59" s="133">
        <v>5.0</v>
      </c>
      <c r="T59" s="134">
        <v>3.0</v>
      </c>
      <c r="U59" s="133"/>
      <c r="V59" s="133"/>
      <c r="W59" s="133"/>
      <c r="X59" s="133"/>
      <c r="Y59" s="133"/>
      <c r="Z59" s="133"/>
      <c r="AA59" s="130"/>
      <c r="AB59" s="130"/>
      <c r="AC59" s="130"/>
      <c r="AD59" s="130"/>
      <c r="AE59" s="130"/>
      <c r="AF59" s="130"/>
      <c r="AG59" s="130"/>
      <c r="AH59" s="130"/>
      <c r="AI59" s="130"/>
      <c r="AJ59" s="130"/>
      <c r="AK59" s="130"/>
      <c r="AL59" s="130"/>
      <c r="AM59" s="130"/>
      <c r="AN59" s="130"/>
      <c r="AO59" s="130"/>
    </row>
    <row r="60">
      <c r="A60" s="704" t="s">
        <v>1187</v>
      </c>
      <c r="B60" s="137">
        <v>9.0</v>
      </c>
      <c r="C60" s="132">
        <v>8.0</v>
      </c>
      <c r="D60" s="132">
        <v>8.0</v>
      </c>
      <c r="E60" s="132">
        <v>2.0</v>
      </c>
      <c r="F60" s="132">
        <v>8.0</v>
      </c>
      <c r="G60" s="132">
        <v>4.0</v>
      </c>
      <c r="H60" s="132">
        <v>8.0</v>
      </c>
      <c r="I60" s="132">
        <v>8.0</v>
      </c>
      <c r="J60" s="133">
        <v>8.0</v>
      </c>
      <c r="K60" s="133">
        <v>0.0</v>
      </c>
      <c r="L60" s="133">
        <v>4.0</v>
      </c>
      <c r="M60" s="133">
        <v>0.0</v>
      </c>
      <c r="N60" s="133">
        <v>11.0</v>
      </c>
      <c r="O60" s="133">
        <v>11.0</v>
      </c>
      <c r="P60" s="133">
        <v>11.0</v>
      </c>
      <c r="Q60" s="133">
        <v>4.0</v>
      </c>
      <c r="R60" s="133">
        <v>3.0</v>
      </c>
      <c r="S60" s="133">
        <v>6.0</v>
      </c>
      <c r="T60" s="134">
        <v>3.0</v>
      </c>
      <c r="U60" s="133"/>
      <c r="V60" s="133"/>
      <c r="W60" s="133"/>
      <c r="X60" s="133"/>
      <c r="Y60" s="133"/>
      <c r="Z60" s="133"/>
      <c r="AA60" s="130"/>
      <c r="AB60" s="130"/>
      <c r="AC60" s="130"/>
      <c r="AD60" s="130"/>
      <c r="AE60" s="130"/>
      <c r="AF60" s="130"/>
      <c r="AG60" s="130"/>
      <c r="AH60" s="130"/>
      <c r="AI60" s="130"/>
      <c r="AJ60" s="130"/>
      <c r="AK60" s="130"/>
      <c r="AL60" s="130"/>
      <c r="AM60" s="130"/>
      <c r="AN60" s="130"/>
      <c r="AO60" s="130"/>
    </row>
    <row r="61">
      <c r="A61" s="126" t="s">
        <v>225</v>
      </c>
      <c r="B61" s="410"/>
      <c r="C61" s="403"/>
      <c r="D61" s="403"/>
      <c r="E61" s="403"/>
      <c r="F61" s="403"/>
      <c r="G61" s="403"/>
      <c r="H61" s="403"/>
      <c r="I61" s="403"/>
      <c r="J61" s="403"/>
      <c r="K61" s="403"/>
      <c r="L61" s="403"/>
      <c r="M61" s="403"/>
      <c r="N61" s="403"/>
      <c r="O61" s="403"/>
      <c r="P61" s="403"/>
      <c r="Q61" s="403"/>
      <c r="R61" s="403"/>
      <c r="S61" s="403"/>
      <c r="T61" s="403"/>
      <c r="U61" s="403"/>
      <c r="V61" s="411"/>
      <c r="W61" s="403"/>
      <c r="X61" s="403"/>
      <c r="Y61" s="403"/>
      <c r="Z61" s="403"/>
      <c r="AA61" s="403"/>
      <c r="AB61" s="403"/>
      <c r="AC61" s="403"/>
      <c r="AD61" s="403"/>
      <c r="AE61" s="403"/>
      <c r="AF61" s="403"/>
      <c r="AG61" s="403"/>
      <c r="AH61" s="403"/>
      <c r="AI61" s="403"/>
      <c r="AJ61" s="403"/>
      <c r="AK61" s="403"/>
      <c r="AL61" s="403"/>
      <c r="AM61" s="403"/>
      <c r="AN61" s="403"/>
    </row>
    <row r="62">
      <c r="A62" s="722"/>
      <c r="B62" s="137"/>
      <c r="C62" s="132"/>
      <c r="D62" s="132"/>
      <c r="E62" s="132"/>
      <c r="F62" s="132"/>
      <c r="G62" s="132"/>
      <c r="H62" s="132"/>
      <c r="I62" s="132"/>
      <c r="J62" s="133"/>
      <c r="K62" s="133"/>
      <c r="L62" s="133"/>
      <c r="M62" s="133"/>
      <c r="N62" s="133"/>
      <c r="O62" s="133"/>
      <c r="P62" s="133"/>
      <c r="Q62" s="133"/>
      <c r="R62" s="133"/>
      <c r="S62" s="133"/>
      <c r="T62" s="134"/>
      <c r="U62" s="133"/>
      <c r="V62" s="133"/>
      <c r="X62" s="133"/>
      <c r="Y62" s="133"/>
      <c r="Z62" s="133"/>
      <c r="AA62" s="130"/>
      <c r="AB62" s="130"/>
      <c r="AC62" s="130"/>
      <c r="AD62" s="130"/>
      <c r="AE62" s="130"/>
      <c r="AF62" s="130"/>
      <c r="AG62" s="130"/>
      <c r="AH62" s="130"/>
      <c r="AI62" s="130"/>
      <c r="AJ62" s="130"/>
      <c r="AK62" s="130"/>
      <c r="AL62" s="130"/>
      <c r="AM62" s="130"/>
      <c r="AN62" s="130"/>
      <c r="AO62" s="130"/>
    </row>
    <row r="63" hidden="1">
      <c r="A63" s="571" t="s">
        <v>1188</v>
      </c>
      <c r="B63" s="138"/>
      <c r="C63" s="138">
        <f t="shared" ref="C63:P63" si="10">sum(C49:C57)</f>
        <v>142</v>
      </c>
      <c r="D63" s="138">
        <f t="shared" si="10"/>
        <v>172</v>
      </c>
      <c r="E63" s="138">
        <f t="shared" si="10"/>
        <v>138</v>
      </c>
      <c r="F63" s="138">
        <f t="shared" si="10"/>
        <v>192</v>
      </c>
      <c r="G63" s="138">
        <f t="shared" si="10"/>
        <v>215</v>
      </c>
      <c r="H63" s="138">
        <f t="shared" si="10"/>
        <v>166</v>
      </c>
      <c r="I63" s="138">
        <f t="shared" si="10"/>
        <v>221</v>
      </c>
      <c r="J63" s="138">
        <f t="shared" si="10"/>
        <v>207</v>
      </c>
      <c r="K63" s="138">
        <f t="shared" si="10"/>
        <v>196</v>
      </c>
      <c r="L63" s="138">
        <f t="shared" si="10"/>
        <v>148</v>
      </c>
      <c r="M63" s="138">
        <f t="shared" si="10"/>
        <v>172</v>
      </c>
      <c r="N63" s="138">
        <f t="shared" si="10"/>
        <v>150</v>
      </c>
      <c r="O63" s="138">
        <f t="shared" si="10"/>
        <v>151</v>
      </c>
      <c r="P63" s="138">
        <f t="shared" si="10"/>
        <v>160</v>
      </c>
      <c r="T63" s="31"/>
    </row>
    <row r="64" hidden="1">
      <c r="A64" s="571" t="s">
        <v>1189</v>
      </c>
      <c r="B64" s="138"/>
      <c r="C64" s="138">
        <f t="shared" ref="C64:P64" si="11">sum(C58:C60)</f>
        <v>19</v>
      </c>
      <c r="D64" s="138">
        <f t="shared" si="11"/>
        <v>33</v>
      </c>
      <c r="E64" s="138">
        <f t="shared" si="11"/>
        <v>10</v>
      </c>
      <c r="F64" s="138">
        <f t="shared" si="11"/>
        <v>26</v>
      </c>
      <c r="G64" s="138">
        <f t="shared" si="11"/>
        <v>18</v>
      </c>
      <c r="H64" s="138">
        <f t="shared" si="11"/>
        <v>27</v>
      </c>
      <c r="I64" s="138">
        <f t="shared" si="11"/>
        <v>28</v>
      </c>
      <c r="J64" s="138">
        <f t="shared" si="11"/>
        <v>20</v>
      </c>
      <c r="K64" s="138">
        <f t="shared" si="11"/>
        <v>16</v>
      </c>
      <c r="L64" s="138">
        <f t="shared" si="11"/>
        <v>4</v>
      </c>
      <c r="M64" s="138">
        <f t="shared" si="11"/>
        <v>0</v>
      </c>
      <c r="N64" s="138">
        <f t="shared" si="11"/>
        <v>19</v>
      </c>
      <c r="O64" s="138">
        <f t="shared" si="11"/>
        <v>34</v>
      </c>
      <c r="P64" s="138">
        <f t="shared" si="11"/>
        <v>19</v>
      </c>
      <c r="T64" s="31"/>
    </row>
    <row r="65" hidden="1">
      <c r="A65" s="138"/>
      <c r="B65" s="138"/>
      <c r="C65" s="138"/>
      <c r="D65" s="138"/>
      <c r="E65" s="138"/>
      <c r="F65" s="138"/>
      <c r="G65" s="138"/>
      <c r="H65" s="138"/>
      <c r="I65" s="138"/>
      <c r="T65" s="31"/>
    </row>
    <row r="66" hidden="1">
      <c r="A66" s="571" t="s">
        <v>1190</v>
      </c>
      <c r="B66" s="138"/>
      <c r="C66" s="138"/>
      <c r="D66" s="138"/>
      <c r="E66" s="138"/>
      <c r="F66" s="138"/>
      <c r="G66" s="138"/>
      <c r="H66" s="138">
        <f t="shared" ref="H66:P66" si="12">H50+H51+H52+35</f>
        <v>161</v>
      </c>
      <c r="I66" s="138">
        <f t="shared" si="12"/>
        <v>175</v>
      </c>
      <c r="J66" s="138">
        <f t="shared" si="12"/>
        <v>169</v>
      </c>
      <c r="K66" s="138">
        <f t="shared" si="12"/>
        <v>142</v>
      </c>
      <c r="L66" s="138">
        <f t="shared" si="12"/>
        <v>142</v>
      </c>
      <c r="M66" s="138">
        <f t="shared" si="12"/>
        <v>160</v>
      </c>
      <c r="N66" s="138">
        <f t="shared" si="12"/>
        <v>123</v>
      </c>
      <c r="O66" s="138">
        <f t="shared" si="12"/>
        <v>145</v>
      </c>
      <c r="P66" s="138">
        <f t="shared" si="12"/>
        <v>106</v>
      </c>
      <c r="T66" s="31"/>
    </row>
    <row r="67">
      <c r="A67" s="138"/>
      <c r="B67" s="138"/>
      <c r="C67" s="138"/>
      <c r="D67" s="138"/>
      <c r="E67" s="138"/>
      <c r="F67" s="138"/>
      <c r="G67" s="138"/>
      <c r="H67" s="138"/>
      <c r="I67" s="138"/>
      <c r="T67" s="31"/>
    </row>
    <row r="68">
      <c r="A68" s="138"/>
      <c r="B68" s="138"/>
      <c r="C68" s="138"/>
      <c r="D68" s="138"/>
      <c r="E68" s="138"/>
      <c r="F68" s="138"/>
      <c r="G68" s="138"/>
      <c r="H68" s="138"/>
      <c r="I68" s="138"/>
      <c r="T68" s="31"/>
    </row>
    <row r="69">
      <c r="A69" s="138"/>
      <c r="B69" s="138"/>
      <c r="C69" s="138"/>
      <c r="D69" s="138"/>
      <c r="E69" s="138"/>
      <c r="F69" s="138"/>
      <c r="G69" s="138"/>
      <c r="H69" s="138"/>
      <c r="I69" s="138"/>
      <c r="T69" s="31"/>
    </row>
    <row r="70">
      <c r="A70" s="138"/>
      <c r="B70" s="138"/>
      <c r="C70" s="138"/>
      <c r="D70" s="138"/>
      <c r="E70" s="138"/>
      <c r="F70" s="138"/>
      <c r="G70" s="138"/>
      <c r="H70" s="138"/>
      <c r="I70" s="138"/>
      <c r="T70" s="31"/>
    </row>
    <row r="71">
      <c r="A71" s="138"/>
      <c r="B71" s="138"/>
      <c r="C71" s="138"/>
      <c r="D71" s="138"/>
      <c r="E71" s="138"/>
      <c r="F71" s="138"/>
      <c r="G71" s="138"/>
      <c r="H71" s="138"/>
      <c r="I71" s="138"/>
      <c r="T71" s="31"/>
    </row>
    <row r="72">
      <c r="A72" s="138"/>
      <c r="B72" s="138"/>
      <c r="C72" s="138"/>
      <c r="D72" s="138"/>
      <c r="E72" s="138"/>
      <c r="F72" s="138"/>
      <c r="G72" s="138"/>
      <c r="H72" s="138"/>
      <c r="I72" s="138"/>
      <c r="T72" s="31"/>
    </row>
    <row r="73">
      <c r="A73" s="138"/>
      <c r="B73" s="138"/>
      <c r="C73" s="138"/>
      <c r="D73" s="138"/>
      <c r="E73" s="138"/>
      <c r="F73" s="138"/>
      <c r="G73" s="138"/>
      <c r="H73" s="138"/>
      <c r="I73" s="138"/>
      <c r="T73" s="31"/>
    </row>
    <row r="74">
      <c r="A74" s="138"/>
      <c r="B74" s="138"/>
      <c r="C74" s="138"/>
      <c r="D74" s="138"/>
      <c r="E74" s="138"/>
      <c r="F74" s="138"/>
      <c r="G74" s="138"/>
      <c r="H74" s="138"/>
      <c r="I74" s="138"/>
      <c r="T74" s="31"/>
    </row>
    <row r="75">
      <c r="A75" s="138"/>
      <c r="B75" s="138"/>
      <c r="C75" s="138"/>
      <c r="D75" s="138"/>
      <c r="E75" s="138"/>
      <c r="F75" s="138"/>
      <c r="G75" s="138"/>
      <c r="H75" s="138"/>
      <c r="I75" s="138"/>
      <c r="T75" s="31"/>
    </row>
    <row r="76">
      <c r="A76" s="138"/>
      <c r="B76" s="138"/>
      <c r="C76" s="138"/>
      <c r="D76" s="138"/>
      <c r="E76" s="138"/>
      <c r="F76" s="138"/>
      <c r="G76" s="138"/>
      <c r="H76" s="138"/>
      <c r="I76" s="138"/>
      <c r="T76" s="31"/>
    </row>
    <row r="77">
      <c r="A77" s="138"/>
      <c r="B77" s="138"/>
      <c r="C77" s="138"/>
      <c r="D77" s="138"/>
      <c r="E77" s="138"/>
      <c r="F77" s="138"/>
      <c r="G77" s="138"/>
      <c r="H77" s="138"/>
      <c r="I77" s="138"/>
      <c r="T77" s="31"/>
    </row>
    <row r="78">
      <c r="A78" s="138"/>
      <c r="B78" s="138"/>
      <c r="C78" s="138"/>
      <c r="D78" s="138"/>
      <c r="E78" s="138"/>
      <c r="F78" s="138"/>
      <c r="G78" s="138"/>
      <c r="H78" s="138"/>
      <c r="I78" s="138"/>
      <c r="T78" s="31"/>
    </row>
    <row r="79">
      <c r="A79" s="138"/>
      <c r="B79" s="138"/>
      <c r="C79" s="138"/>
      <c r="D79" s="138"/>
      <c r="E79" s="138"/>
      <c r="F79" s="138"/>
      <c r="G79" s="138"/>
      <c r="H79" s="138"/>
      <c r="I79" s="138"/>
      <c r="T79" s="31"/>
    </row>
    <row r="80">
      <c r="A80" s="138"/>
      <c r="B80" s="138"/>
      <c r="C80" s="138"/>
      <c r="D80" s="138"/>
      <c r="E80" s="138"/>
      <c r="F80" s="138"/>
      <c r="G80" s="138"/>
      <c r="H80" s="138"/>
      <c r="I80" s="138"/>
      <c r="T80" s="31"/>
    </row>
    <row r="81">
      <c r="A81" s="138"/>
      <c r="B81" s="138"/>
      <c r="C81" s="138"/>
      <c r="D81" s="138"/>
      <c r="E81" s="138"/>
      <c r="F81" s="138"/>
      <c r="G81" s="138"/>
      <c r="H81" s="138"/>
      <c r="I81" s="138"/>
      <c r="T81" s="31"/>
    </row>
    <row r="82">
      <c r="A82" s="138"/>
      <c r="B82" s="138"/>
      <c r="C82" s="138"/>
      <c r="D82" s="138"/>
      <c r="E82" s="138"/>
      <c r="F82" s="138"/>
      <c r="G82" s="138"/>
      <c r="H82" s="138"/>
      <c r="I82" s="138"/>
      <c r="T82" s="31"/>
    </row>
    <row r="83">
      <c r="A83" s="138"/>
      <c r="B83" s="138"/>
      <c r="C83" s="138"/>
      <c r="D83" s="138"/>
      <c r="E83" s="138"/>
      <c r="F83" s="138"/>
      <c r="G83" s="138"/>
      <c r="H83" s="138"/>
      <c r="I83" s="138"/>
      <c r="T83" s="31"/>
    </row>
    <row r="84">
      <c r="A84" s="138"/>
      <c r="B84" s="138"/>
      <c r="C84" s="138"/>
      <c r="D84" s="138"/>
      <c r="E84" s="138"/>
      <c r="F84" s="138"/>
      <c r="G84" s="138"/>
      <c r="H84" s="138"/>
      <c r="I84" s="138"/>
      <c r="T84" s="31"/>
    </row>
    <row r="85">
      <c r="A85" s="138"/>
      <c r="B85" s="138"/>
      <c r="C85" s="138"/>
      <c r="D85" s="138"/>
      <c r="E85" s="138"/>
      <c r="F85" s="138"/>
      <c r="G85" s="138"/>
      <c r="H85" s="138"/>
      <c r="I85" s="138"/>
      <c r="T85" s="31"/>
    </row>
    <row r="86">
      <c r="A86" s="138"/>
      <c r="B86" s="138"/>
      <c r="C86" s="138"/>
      <c r="D86" s="138"/>
      <c r="E86" s="138"/>
      <c r="F86" s="138"/>
      <c r="G86" s="138"/>
      <c r="H86" s="138"/>
      <c r="I86" s="138"/>
      <c r="T86" s="31"/>
    </row>
    <row r="87">
      <c r="A87" s="138"/>
      <c r="B87" s="138"/>
      <c r="C87" s="138"/>
      <c r="D87" s="138"/>
      <c r="E87" s="138"/>
      <c r="F87" s="138"/>
      <c r="G87" s="138"/>
      <c r="H87" s="138"/>
      <c r="I87" s="138"/>
      <c r="T87" s="31"/>
    </row>
    <row r="88">
      <c r="A88" s="138"/>
      <c r="B88" s="138"/>
      <c r="C88" s="138"/>
      <c r="D88" s="138"/>
      <c r="E88" s="138"/>
      <c r="F88" s="138"/>
      <c r="G88" s="138"/>
      <c r="H88" s="138"/>
      <c r="I88" s="138"/>
      <c r="T88" s="31"/>
    </row>
    <row r="89">
      <c r="A89" s="138"/>
      <c r="B89" s="138"/>
      <c r="C89" s="138"/>
      <c r="D89" s="138"/>
      <c r="E89" s="138"/>
      <c r="F89" s="138"/>
      <c r="G89" s="138"/>
      <c r="H89" s="138"/>
      <c r="I89" s="138"/>
      <c r="T89" s="31"/>
    </row>
    <row r="90">
      <c r="A90" s="138"/>
      <c r="B90" s="138"/>
      <c r="C90" s="138"/>
      <c r="D90" s="138"/>
      <c r="E90" s="138"/>
      <c r="F90" s="138"/>
      <c r="G90" s="138"/>
      <c r="H90" s="138"/>
      <c r="I90" s="138"/>
      <c r="T90" s="31"/>
    </row>
    <row r="91">
      <c r="A91" s="138"/>
      <c r="B91" s="138"/>
      <c r="C91" s="138"/>
      <c r="D91" s="138"/>
      <c r="E91" s="138"/>
      <c r="F91" s="138"/>
      <c r="G91" s="138"/>
      <c r="H91" s="138"/>
      <c r="I91" s="138"/>
      <c r="T91" s="31"/>
    </row>
    <row r="92">
      <c r="A92" s="138"/>
      <c r="B92" s="138"/>
      <c r="C92" s="138"/>
      <c r="D92" s="138"/>
      <c r="E92" s="138"/>
      <c r="F92" s="138"/>
      <c r="G92" s="138"/>
      <c r="H92" s="138"/>
      <c r="I92" s="138"/>
      <c r="T92" s="31"/>
    </row>
    <row r="93">
      <c r="A93" s="138"/>
      <c r="B93" s="138"/>
      <c r="C93" s="138"/>
      <c r="D93" s="138"/>
      <c r="E93" s="138"/>
      <c r="F93" s="138"/>
      <c r="G93" s="138"/>
      <c r="H93" s="138"/>
      <c r="I93" s="138"/>
      <c r="T93" s="31"/>
    </row>
    <row r="94">
      <c r="A94" s="138"/>
      <c r="B94" s="138"/>
      <c r="C94" s="138"/>
      <c r="D94" s="138"/>
      <c r="E94" s="138"/>
      <c r="F94" s="138"/>
      <c r="G94" s="138"/>
      <c r="H94" s="138"/>
      <c r="I94" s="138"/>
      <c r="T94" s="31"/>
    </row>
    <row r="95">
      <c r="A95" s="138"/>
      <c r="B95" s="138"/>
      <c r="C95" s="138"/>
      <c r="D95" s="138"/>
      <c r="E95" s="138"/>
      <c r="F95" s="138"/>
      <c r="G95" s="138"/>
      <c r="H95" s="138"/>
      <c r="I95" s="138"/>
      <c r="T95" s="31"/>
    </row>
    <row r="96">
      <c r="A96" s="138"/>
      <c r="B96" s="138"/>
      <c r="C96" s="138"/>
      <c r="D96" s="138"/>
      <c r="E96" s="138"/>
      <c r="F96" s="138"/>
      <c r="G96" s="138"/>
      <c r="H96" s="138"/>
      <c r="I96" s="138"/>
      <c r="T96" s="31"/>
    </row>
    <row r="97">
      <c r="A97" s="138"/>
      <c r="B97" s="138"/>
      <c r="C97" s="138"/>
      <c r="D97" s="138"/>
      <c r="E97" s="138"/>
      <c r="F97" s="138"/>
      <c r="G97" s="138"/>
      <c r="H97" s="138"/>
      <c r="I97" s="138"/>
      <c r="T97" s="31"/>
    </row>
    <row r="98">
      <c r="A98" s="138"/>
      <c r="B98" s="138"/>
      <c r="C98" s="138"/>
      <c r="D98" s="138"/>
      <c r="E98" s="138"/>
      <c r="F98" s="138"/>
      <c r="G98" s="138"/>
      <c r="H98" s="138"/>
      <c r="I98" s="138"/>
      <c r="T98" s="31"/>
    </row>
    <row r="99">
      <c r="A99" s="138"/>
      <c r="B99" s="138"/>
      <c r="C99" s="138"/>
      <c r="D99" s="138"/>
      <c r="E99" s="138"/>
      <c r="F99" s="138"/>
      <c r="G99" s="138"/>
      <c r="H99" s="138"/>
      <c r="I99" s="138"/>
      <c r="T99" s="31"/>
    </row>
    <row r="100">
      <c r="A100" s="138"/>
      <c r="B100" s="138"/>
      <c r="C100" s="138"/>
      <c r="D100" s="138"/>
      <c r="E100" s="138"/>
      <c r="F100" s="138"/>
      <c r="G100" s="138"/>
      <c r="H100" s="138"/>
      <c r="I100" s="138"/>
      <c r="T100" s="31"/>
    </row>
    <row r="101">
      <c r="A101" s="138"/>
      <c r="B101" s="138"/>
      <c r="C101" s="138"/>
      <c r="D101" s="138"/>
      <c r="E101" s="138"/>
      <c r="F101" s="138"/>
      <c r="G101" s="138"/>
      <c r="H101" s="138"/>
      <c r="I101" s="138"/>
      <c r="T101" s="31"/>
    </row>
    <row r="102">
      <c r="A102" s="138"/>
      <c r="B102" s="138"/>
      <c r="C102" s="138"/>
      <c r="D102" s="138"/>
      <c r="E102" s="138"/>
      <c r="F102" s="138"/>
      <c r="G102" s="138"/>
      <c r="H102" s="138"/>
      <c r="I102" s="138"/>
      <c r="T102" s="31"/>
    </row>
    <row r="103">
      <c r="A103" s="138"/>
      <c r="B103" s="138"/>
      <c r="C103" s="138"/>
      <c r="D103" s="138"/>
      <c r="E103" s="138"/>
      <c r="F103" s="138"/>
      <c r="G103" s="138"/>
      <c r="H103" s="138"/>
      <c r="I103" s="138"/>
      <c r="T103" s="31"/>
    </row>
    <row r="104">
      <c r="A104" s="138"/>
      <c r="B104" s="138"/>
      <c r="C104" s="138"/>
      <c r="D104" s="138"/>
      <c r="E104" s="138"/>
      <c r="F104" s="138"/>
      <c r="G104" s="138"/>
      <c r="H104" s="138"/>
      <c r="I104" s="138"/>
      <c r="T104" s="31"/>
    </row>
    <row r="105">
      <c r="A105" s="138"/>
      <c r="B105" s="138"/>
      <c r="C105" s="138"/>
      <c r="D105" s="138"/>
      <c r="E105" s="138"/>
      <c r="F105" s="138"/>
      <c r="G105" s="138"/>
      <c r="H105" s="138"/>
      <c r="I105" s="138"/>
      <c r="T105" s="31"/>
    </row>
    <row r="106">
      <c r="A106" s="138"/>
      <c r="B106" s="138"/>
      <c r="C106" s="138"/>
      <c r="D106" s="138"/>
      <c r="E106" s="138"/>
      <c r="F106" s="138"/>
      <c r="G106" s="138"/>
      <c r="H106" s="138"/>
      <c r="I106" s="138"/>
      <c r="T106" s="31"/>
    </row>
    <row r="107">
      <c r="A107" s="138"/>
      <c r="B107" s="138"/>
      <c r="C107" s="138"/>
      <c r="D107" s="138"/>
      <c r="E107" s="138"/>
      <c r="F107" s="138"/>
      <c r="G107" s="138"/>
      <c r="H107" s="138"/>
      <c r="I107" s="138"/>
      <c r="T107" s="31"/>
    </row>
    <row r="108">
      <c r="A108" s="138"/>
      <c r="B108" s="138"/>
      <c r="C108" s="138"/>
      <c r="D108" s="138"/>
      <c r="E108" s="138"/>
      <c r="F108" s="138"/>
      <c r="G108" s="138"/>
      <c r="H108" s="138"/>
      <c r="I108" s="138"/>
      <c r="T108" s="31"/>
    </row>
    <row r="109">
      <c r="A109" s="138"/>
      <c r="B109" s="138"/>
      <c r="C109" s="138"/>
      <c r="D109" s="138"/>
      <c r="E109" s="138"/>
      <c r="F109" s="138"/>
      <c r="G109" s="138"/>
      <c r="H109" s="138"/>
      <c r="I109" s="138"/>
      <c r="T109" s="31"/>
    </row>
    <row r="110">
      <c r="A110" s="138"/>
      <c r="B110" s="138"/>
      <c r="C110" s="138"/>
      <c r="D110" s="138"/>
      <c r="E110" s="138"/>
      <c r="F110" s="138"/>
      <c r="G110" s="138"/>
      <c r="H110" s="138"/>
      <c r="I110" s="138"/>
      <c r="T110" s="31"/>
    </row>
    <row r="111">
      <c r="A111" s="138"/>
      <c r="B111" s="138"/>
      <c r="C111" s="138"/>
      <c r="D111" s="138"/>
      <c r="E111" s="138"/>
      <c r="F111" s="138"/>
      <c r="G111" s="138"/>
      <c r="H111" s="138"/>
      <c r="I111" s="138"/>
      <c r="T111" s="31"/>
    </row>
    <row r="112">
      <c r="A112" s="138"/>
      <c r="B112" s="138"/>
      <c r="C112" s="138"/>
      <c r="D112" s="138"/>
      <c r="E112" s="138"/>
      <c r="F112" s="138"/>
      <c r="G112" s="138"/>
      <c r="H112" s="138"/>
      <c r="I112" s="138"/>
      <c r="T112" s="31"/>
    </row>
    <row r="113">
      <c r="A113" s="138"/>
      <c r="B113" s="138"/>
      <c r="C113" s="138"/>
      <c r="D113" s="138"/>
      <c r="E113" s="138"/>
      <c r="F113" s="138"/>
      <c r="G113" s="138"/>
      <c r="H113" s="138"/>
      <c r="I113" s="138"/>
      <c r="T113" s="31"/>
    </row>
    <row r="114">
      <c r="A114" s="138"/>
      <c r="B114" s="138"/>
      <c r="C114" s="138"/>
      <c r="D114" s="138"/>
      <c r="E114" s="138"/>
      <c r="F114" s="138"/>
      <c r="G114" s="138"/>
      <c r="H114" s="138"/>
      <c r="I114" s="138"/>
      <c r="T114" s="31"/>
    </row>
    <row r="115">
      <c r="A115" s="138"/>
      <c r="B115" s="138"/>
      <c r="C115" s="138"/>
      <c r="D115" s="138"/>
      <c r="E115" s="138"/>
      <c r="F115" s="138"/>
      <c r="G115" s="138"/>
      <c r="H115" s="138"/>
      <c r="I115" s="138"/>
      <c r="T115" s="31"/>
    </row>
    <row r="116">
      <c r="A116" s="138"/>
      <c r="B116" s="138"/>
      <c r="C116" s="138"/>
      <c r="D116" s="138"/>
      <c r="E116" s="138"/>
      <c r="F116" s="138"/>
      <c r="G116" s="138"/>
      <c r="H116" s="138"/>
      <c r="I116" s="138"/>
      <c r="T116" s="31"/>
    </row>
    <row r="117">
      <c r="A117" s="138"/>
      <c r="B117" s="138"/>
      <c r="C117" s="138"/>
      <c r="D117" s="138"/>
      <c r="E117" s="138"/>
      <c r="F117" s="138"/>
      <c r="G117" s="138"/>
      <c r="H117" s="138"/>
      <c r="I117" s="138"/>
      <c r="T117" s="31"/>
    </row>
    <row r="118">
      <c r="A118" s="138"/>
      <c r="B118" s="138"/>
      <c r="C118" s="138"/>
      <c r="D118" s="138"/>
      <c r="E118" s="138"/>
      <c r="F118" s="138"/>
      <c r="G118" s="138"/>
      <c r="H118" s="138"/>
      <c r="I118" s="138"/>
      <c r="T118" s="31"/>
    </row>
    <row r="119">
      <c r="A119" s="138"/>
      <c r="B119" s="138"/>
      <c r="C119" s="138"/>
      <c r="D119" s="138"/>
      <c r="E119" s="138"/>
      <c r="F119" s="138"/>
      <c r="G119" s="138"/>
      <c r="H119" s="138"/>
      <c r="I119" s="138"/>
      <c r="T119" s="31"/>
    </row>
    <row r="120">
      <c r="A120" s="138"/>
      <c r="B120" s="138"/>
      <c r="C120" s="138"/>
      <c r="D120" s="138"/>
      <c r="E120" s="138"/>
      <c r="F120" s="138"/>
      <c r="G120" s="138"/>
      <c r="H120" s="138"/>
      <c r="I120" s="138"/>
      <c r="T120" s="31"/>
    </row>
    <row r="121">
      <c r="A121" s="138"/>
      <c r="B121" s="138"/>
      <c r="C121" s="138"/>
      <c r="D121" s="138"/>
      <c r="E121" s="138"/>
      <c r="F121" s="138"/>
      <c r="G121" s="138"/>
      <c r="H121" s="138"/>
      <c r="I121" s="138"/>
      <c r="T121" s="31"/>
    </row>
    <row r="122">
      <c r="A122" s="138"/>
      <c r="B122" s="138"/>
      <c r="C122" s="138"/>
      <c r="D122" s="138"/>
      <c r="E122" s="138"/>
      <c r="F122" s="138"/>
      <c r="G122" s="138"/>
      <c r="H122" s="138"/>
      <c r="I122" s="138"/>
      <c r="T122" s="31"/>
    </row>
    <row r="123">
      <c r="A123" s="138"/>
      <c r="B123" s="138"/>
      <c r="C123" s="138"/>
      <c r="D123" s="138"/>
      <c r="E123" s="138"/>
      <c r="F123" s="138"/>
      <c r="G123" s="138"/>
      <c r="H123" s="138"/>
      <c r="I123" s="138"/>
      <c r="T123" s="31"/>
    </row>
    <row r="124">
      <c r="A124" s="138"/>
      <c r="B124" s="138"/>
      <c r="C124" s="138"/>
      <c r="D124" s="138"/>
      <c r="E124" s="138"/>
      <c r="F124" s="138"/>
      <c r="G124" s="138"/>
      <c r="H124" s="138"/>
      <c r="I124" s="138"/>
      <c r="T124" s="31"/>
    </row>
    <row r="125">
      <c r="A125" s="138"/>
      <c r="B125" s="138"/>
      <c r="C125" s="138"/>
      <c r="D125" s="138"/>
      <c r="E125" s="138"/>
      <c r="F125" s="138"/>
      <c r="G125" s="138"/>
      <c r="H125" s="138"/>
      <c r="I125" s="138"/>
      <c r="T125" s="31"/>
    </row>
    <row r="126">
      <c r="A126" s="138"/>
      <c r="B126" s="138"/>
      <c r="C126" s="138"/>
      <c r="D126" s="138"/>
      <c r="E126" s="138"/>
      <c r="F126" s="138"/>
      <c r="G126" s="138"/>
      <c r="H126" s="138"/>
      <c r="I126" s="138"/>
      <c r="T126" s="31"/>
    </row>
    <row r="127">
      <c r="A127" s="138"/>
      <c r="B127" s="138"/>
      <c r="C127" s="138"/>
      <c r="D127" s="138"/>
      <c r="E127" s="138"/>
      <c r="F127" s="138"/>
      <c r="G127" s="138"/>
      <c r="H127" s="138"/>
      <c r="I127" s="138"/>
      <c r="T127" s="31"/>
    </row>
    <row r="128">
      <c r="A128" s="138"/>
      <c r="B128" s="138"/>
      <c r="C128" s="138"/>
      <c r="D128" s="138"/>
      <c r="E128" s="138"/>
      <c r="F128" s="138"/>
      <c r="G128" s="138"/>
      <c r="H128" s="138"/>
      <c r="I128" s="138"/>
      <c r="T128" s="31"/>
    </row>
    <row r="129">
      <c r="A129" s="138"/>
      <c r="B129" s="138"/>
      <c r="C129" s="138"/>
      <c r="D129" s="138"/>
      <c r="E129" s="138"/>
      <c r="F129" s="138"/>
      <c r="G129" s="138"/>
      <c r="H129" s="138"/>
      <c r="I129" s="138"/>
      <c r="T129" s="31"/>
    </row>
    <row r="130">
      <c r="A130" s="138"/>
      <c r="B130" s="138"/>
      <c r="C130" s="138"/>
      <c r="D130" s="138"/>
      <c r="E130" s="138"/>
      <c r="F130" s="138"/>
      <c r="G130" s="138"/>
      <c r="H130" s="138"/>
      <c r="I130" s="138"/>
      <c r="T130" s="31"/>
    </row>
    <row r="131">
      <c r="A131" s="138"/>
      <c r="B131" s="138"/>
      <c r="C131" s="138"/>
      <c r="D131" s="138"/>
      <c r="E131" s="138"/>
      <c r="F131" s="138"/>
      <c r="G131" s="138"/>
      <c r="H131" s="138"/>
      <c r="I131" s="138"/>
      <c r="T131" s="31"/>
    </row>
    <row r="132">
      <c r="A132" s="138"/>
      <c r="B132" s="138"/>
      <c r="C132" s="138"/>
      <c r="D132" s="138"/>
      <c r="E132" s="138"/>
      <c r="F132" s="138"/>
      <c r="G132" s="138"/>
      <c r="H132" s="138"/>
      <c r="I132" s="138"/>
      <c r="T132" s="31"/>
    </row>
    <row r="133">
      <c r="A133" s="138"/>
      <c r="B133" s="138"/>
      <c r="C133" s="138"/>
      <c r="D133" s="138"/>
      <c r="E133" s="138"/>
      <c r="F133" s="138"/>
      <c r="G133" s="138"/>
      <c r="H133" s="138"/>
      <c r="I133" s="138"/>
      <c r="T133" s="31"/>
    </row>
    <row r="134">
      <c r="A134" s="138"/>
      <c r="B134" s="138"/>
      <c r="C134" s="138"/>
      <c r="D134" s="138"/>
      <c r="E134" s="138"/>
      <c r="F134" s="138"/>
      <c r="G134" s="138"/>
      <c r="H134" s="138"/>
      <c r="I134" s="138"/>
      <c r="T134" s="31"/>
    </row>
    <row r="135">
      <c r="A135" s="138"/>
      <c r="B135" s="138"/>
      <c r="C135" s="138"/>
      <c r="D135" s="138"/>
      <c r="E135" s="138"/>
      <c r="F135" s="138"/>
      <c r="G135" s="138"/>
      <c r="H135" s="138"/>
      <c r="I135" s="138"/>
      <c r="T135" s="31"/>
    </row>
    <row r="136">
      <c r="A136" s="138"/>
      <c r="B136" s="138"/>
      <c r="C136" s="138"/>
      <c r="D136" s="138"/>
      <c r="E136" s="138"/>
      <c r="F136" s="138"/>
      <c r="G136" s="138"/>
      <c r="H136" s="138"/>
      <c r="I136" s="138"/>
      <c r="T136" s="31"/>
    </row>
    <row r="137">
      <c r="A137" s="138"/>
      <c r="B137" s="138"/>
      <c r="C137" s="138"/>
      <c r="D137" s="138"/>
      <c r="E137" s="138"/>
      <c r="F137" s="138"/>
      <c r="G137" s="138"/>
      <c r="H137" s="138"/>
      <c r="I137" s="138"/>
      <c r="T137" s="31"/>
    </row>
    <row r="138">
      <c r="A138" s="138"/>
      <c r="B138" s="138"/>
      <c r="C138" s="138"/>
      <c r="D138" s="138"/>
      <c r="E138" s="138"/>
      <c r="F138" s="138"/>
      <c r="G138" s="138"/>
      <c r="H138" s="138"/>
      <c r="I138" s="138"/>
      <c r="T138" s="31"/>
    </row>
    <row r="139">
      <c r="A139" s="138"/>
      <c r="B139" s="138"/>
      <c r="C139" s="138"/>
      <c r="D139" s="138"/>
      <c r="E139" s="138"/>
      <c r="F139" s="138"/>
      <c r="G139" s="138"/>
      <c r="H139" s="138"/>
      <c r="I139" s="138"/>
      <c r="T139" s="31"/>
    </row>
    <row r="140">
      <c r="A140" s="138"/>
      <c r="B140" s="138"/>
      <c r="C140" s="138"/>
      <c r="D140" s="138"/>
      <c r="E140" s="138"/>
      <c r="F140" s="138"/>
      <c r="G140" s="138"/>
      <c r="H140" s="138"/>
      <c r="I140" s="138"/>
      <c r="T140" s="31"/>
    </row>
    <row r="141">
      <c r="A141" s="138"/>
      <c r="B141" s="138"/>
      <c r="C141" s="138"/>
      <c r="D141" s="138"/>
      <c r="E141" s="138"/>
      <c r="F141" s="138"/>
      <c r="G141" s="138"/>
      <c r="H141" s="138"/>
      <c r="I141" s="138"/>
      <c r="T141" s="31"/>
    </row>
    <row r="142">
      <c r="A142" s="138"/>
      <c r="B142" s="138"/>
      <c r="C142" s="138"/>
      <c r="D142" s="138"/>
      <c r="E142" s="138"/>
      <c r="F142" s="138"/>
      <c r="G142" s="138"/>
      <c r="H142" s="138"/>
      <c r="I142" s="138"/>
      <c r="T142" s="31"/>
    </row>
    <row r="143">
      <c r="A143" s="138"/>
      <c r="B143" s="138"/>
      <c r="C143" s="138"/>
      <c r="D143" s="138"/>
      <c r="E143" s="138"/>
      <c r="F143" s="138"/>
      <c r="G143" s="138"/>
      <c r="H143" s="138"/>
      <c r="I143" s="138"/>
      <c r="T143" s="31"/>
    </row>
    <row r="144">
      <c r="A144" s="138"/>
      <c r="B144" s="138"/>
      <c r="C144" s="138"/>
      <c r="D144" s="138"/>
      <c r="E144" s="138"/>
      <c r="F144" s="138"/>
      <c r="G144" s="138"/>
      <c r="H144" s="138"/>
      <c r="I144" s="138"/>
      <c r="T144" s="31"/>
    </row>
    <row r="145">
      <c r="A145" s="138"/>
      <c r="B145" s="138"/>
      <c r="C145" s="138"/>
      <c r="D145" s="138"/>
      <c r="E145" s="138"/>
      <c r="F145" s="138"/>
      <c r="G145" s="138"/>
      <c r="H145" s="138"/>
      <c r="I145" s="138"/>
      <c r="T145" s="31"/>
    </row>
    <row r="146">
      <c r="A146" s="138"/>
      <c r="B146" s="138"/>
      <c r="C146" s="138"/>
      <c r="D146" s="138"/>
      <c r="E146" s="138"/>
      <c r="F146" s="138"/>
      <c r="G146" s="138"/>
      <c r="H146" s="138"/>
      <c r="I146" s="138"/>
      <c r="T146" s="31"/>
    </row>
    <row r="147">
      <c r="A147" s="138"/>
      <c r="B147" s="138"/>
      <c r="C147" s="138"/>
      <c r="D147" s="138"/>
      <c r="E147" s="138"/>
      <c r="F147" s="138"/>
      <c r="G147" s="138"/>
      <c r="H147" s="138"/>
      <c r="I147" s="138"/>
      <c r="T147" s="31"/>
    </row>
    <row r="148">
      <c r="A148" s="138"/>
      <c r="B148" s="138"/>
      <c r="C148" s="138"/>
      <c r="D148" s="138"/>
      <c r="E148" s="138"/>
      <c r="F148" s="138"/>
      <c r="G148" s="138"/>
      <c r="H148" s="138"/>
      <c r="I148" s="138"/>
      <c r="T148" s="31"/>
    </row>
    <row r="149">
      <c r="A149" s="138"/>
      <c r="B149" s="138"/>
      <c r="C149" s="138"/>
      <c r="D149" s="138"/>
      <c r="E149" s="138"/>
      <c r="F149" s="138"/>
      <c r="G149" s="138"/>
      <c r="H149" s="138"/>
      <c r="I149" s="138"/>
      <c r="T149" s="31"/>
    </row>
    <row r="150">
      <c r="A150" s="138"/>
      <c r="B150" s="138"/>
      <c r="C150" s="138"/>
      <c r="D150" s="138"/>
      <c r="E150" s="138"/>
      <c r="F150" s="138"/>
      <c r="G150" s="138"/>
      <c r="H150" s="138"/>
      <c r="I150" s="138"/>
      <c r="T150" s="31"/>
    </row>
    <row r="151">
      <c r="A151" s="138"/>
      <c r="B151" s="138"/>
      <c r="C151" s="138"/>
      <c r="D151" s="138"/>
      <c r="E151" s="138"/>
      <c r="F151" s="138"/>
      <c r="G151" s="138"/>
      <c r="H151" s="138"/>
      <c r="I151" s="138"/>
      <c r="T151" s="31"/>
    </row>
    <row r="152">
      <c r="A152" s="138"/>
      <c r="B152" s="138"/>
      <c r="C152" s="138"/>
      <c r="D152" s="138"/>
      <c r="E152" s="138"/>
      <c r="F152" s="138"/>
      <c r="G152" s="138"/>
      <c r="H152" s="138"/>
      <c r="I152" s="138"/>
      <c r="T152" s="31"/>
    </row>
    <row r="153">
      <c r="A153" s="138"/>
      <c r="B153" s="138"/>
      <c r="C153" s="138"/>
      <c r="D153" s="138"/>
      <c r="E153" s="138"/>
      <c r="F153" s="138"/>
      <c r="G153" s="138"/>
      <c r="H153" s="138"/>
      <c r="I153" s="138"/>
      <c r="T153" s="31"/>
    </row>
    <row r="154">
      <c r="A154" s="138"/>
      <c r="B154" s="138"/>
      <c r="C154" s="138"/>
      <c r="D154" s="138"/>
      <c r="E154" s="138"/>
      <c r="F154" s="138"/>
      <c r="G154" s="138"/>
      <c r="H154" s="138"/>
      <c r="I154" s="138"/>
      <c r="T154" s="31"/>
    </row>
    <row r="155">
      <c r="A155" s="138"/>
      <c r="B155" s="138"/>
      <c r="C155" s="138"/>
      <c r="D155" s="138"/>
      <c r="E155" s="138"/>
      <c r="F155" s="138"/>
      <c r="G155" s="138"/>
      <c r="H155" s="138"/>
      <c r="I155" s="138"/>
      <c r="T155" s="31"/>
    </row>
    <row r="156">
      <c r="A156" s="138"/>
      <c r="B156" s="138"/>
      <c r="C156" s="138"/>
      <c r="D156" s="138"/>
      <c r="E156" s="138"/>
      <c r="F156" s="138"/>
      <c r="G156" s="138"/>
      <c r="H156" s="138"/>
      <c r="I156" s="138"/>
      <c r="T156" s="31"/>
    </row>
    <row r="157">
      <c r="A157" s="138"/>
      <c r="B157" s="138"/>
      <c r="C157" s="138"/>
      <c r="D157" s="138"/>
      <c r="E157" s="138"/>
      <c r="F157" s="138"/>
      <c r="G157" s="138"/>
      <c r="H157" s="138"/>
      <c r="I157" s="138"/>
      <c r="T157" s="31"/>
    </row>
    <row r="158">
      <c r="A158" s="138"/>
      <c r="B158" s="138"/>
      <c r="C158" s="138"/>
      <c r="D158" s="138"/>
      <c r="E158" s="138"/>
      <c r="F158" s="138"/>
      <c r="G158" s="138"/>
      <c r="H158" s="138"/>
      <c r="I158" s="138"/>
      <c r="T158" s="31"/>
    </row>
    <row r="159">
      <c r="A159" s="138"/>
      <c r="B159" s="138"/>
      <c r="C159" s="138"/>
      <c r="D159" s="138"/>
      <c r="E159" s="138"/>
      <c r="F159" s="138"/>
      <c r="G159" s="138"/>
      <c r="H159" s="138"/>
      <c r="I159" s="138"/>
      <c r="T159" s="31"/>
    </row>
    <row r="160">
      <c r="A160" s="138"/>
      <c r="B160" s="138"/>
      <c r="C160" s="138"/>
      <c r="D160" s="138"/>
      <c r="E160" s="138"/>
      <c r="F160" s="138"/>
      <c r="G160" s="138"/>
      <c r="H160" s="138"/>
      <c r="I160" s="138"/>
      <c r="T160" s="31"/>
    </row>
    <row r="161">
      <c r="A161" s="138"/>
      <c r="B161" s="138"/>
      <c r="C161" s="138"/>
      <c r="D161" s="138"/>
      <c r="E161" s="138"/>
      <c r="F161" s="138"/>
      <c r="G161" s="138"/>
      <c r="H161" s="138"/>
      <c r="I161" s="138"/>
      <c r="T161" s="31"/>
    </row>
    <row r="162">
      <c r="A162" s="138"/>
      <c r="B162" s="138"/>
      <c r="C162" s="138"/>
      <c r="D162" s="138"/>
      <c r="E162" s="138"/>
      <c r="F162" s="138"/>
      <c r="G162" s="138"/>
      <c r="H162" s="138"/>
      <c r="I162" s="138"/>
      <c r="T162" s="31"/>
    </row>
    <row r="163">
      <c r="A163" s="138"/>
      <c r="B163" s="138"/>
      <c r="C163" s="138"/>
      <c r="D163" s="138"/>
      <c r="E163" s="138"/>
      <c r="F163" s="138"/>
      <c r="G163" s="138"/>
      <c r="H163" s="138"/>
      <c r="I163" s="138"/>
      <c r="T163" s="31"/>
    </row>
    <row r="164">
      <c r="A164" s="138"/>
      <c r="B164" s="138"/>
      <c r="C164" s="138"/>
      <c r="D164" s="138"/>
      <c r="E164" s="138"/>
      <c r="F164" s="138"/>
      <c r="G164" s="138"/>
      <c r="H164" s="138"/>
      <c r="I164" s="138"/>
      <c r="T164" s="31"/>
    </row>
    <row r="165">
      <c r="A165" s="138"/>
      <c r="B165" s="138"/>
      <c r="C165" s="138"/>
      <c r="D165" s="138"/>
      <c r="E165" s="138"/>
      <c r="F165" s="138"/>
      <c r="G165" s="138"/>
      <c r="H165" s="138"/>
      <c r="I165" s="138"/>
      <c r="T165" s="31"/>
    </row>
    <row r="166">
      <c r="A166" s="138"/>
      <c r="B166" s="138"/>
      <c r="C166" s="138"/>
      <c r="D166" s="138"/>
      <c r="E166" s="138"/>
      <c r="F166" s="138"/>
      <c r="G166" s="138"/>
      <c r="H166" s="138"/>
      <c r="I166" s="138"/>
      <c r="T166" s="31"/>
    </row>
    <row r="167">
      <c r="A167" s="138"/>
      <c r="B167" s="138"/>
      <c r="C167" s="138"/>
      <c r="D167" s="138"/>
      <c r="E167" s="138"/>
      <c r="F167" s="138"/>
      <c r="G167" s="138"/>
      <c r="H167" s="138"/>
      <c r="I167" s="138"/>
      <c r="T167" s="31"/>
    </row>
    <row r="168">
      <c r="A168" s="138"/>
      <c r="B168" s="138"/>
      <c r="C168" s="138"/>
      <c r="D168" s="138"/>
      <c r="E168" s="138"/>
      <c r="F168" s="138"/>
      <c r="G168" s="138"/>
      <c r="H168" s="138"/>
      <c r="I168" s="138"/>
      <c r="T168" s="31"/>
    </row>
    <row r="169">
      <c r="A169" s="138"/>
      <c r="B169" s="138"/>
      <c r="C169" s="138"/>
      <c r="D169" s="138"/>
      <c r="E169" s="138"/>
      <c r="F169" s="138"/>
      <c r="G169" s="138"/>
      <c r="H169" s="138"/>
      <c r="I169" s="138"/>
      <c r="T169" s="31"/>
    </row>
    <row r="170">
      <c r="A170" s="138"/>
      <c r="B170" s="138"/>
      <c r="C170" s="138"/>
      <c r="D170" s="138"/>
      <c r="E170" s="138"/>
      <c r="F170" s="138"/>
      <c r="G170" s="138"/>
      <c r="H170" s="138"/>
      <c r="I170" s="138"/>
      <c r="T170" s="31"/>
    </row>
    <row r="171">
      <c r="A171" s="138"/>
      <c r="B171" s="138"/>
      <c r="C171" s="138"/>
      <c r="D171" s="138"/>
      <c r="E171" s="138"/>
      <c r="F171" s="138"/>
      <c r="G171" s="138"/>
      <c r="H171" s="138"/>
      <c r="I171" s="138"/>
      <c r="T171" s="31"/>
    </row>
    <row r="172">
      <c r="A172" s="138"/>
      <c r="B172" s="138"/>
      <c r="C172" s="138"/>
      <c r="D172" s="138"/>
      <c r="E172" s="138"/>
      <c r="F172" s="138"/>
      <c r="G172" s="138"/>
      <c r="H172" s="138"/>
      <c r="I172" s="138"/>
      <c r="T172" s="31"/>
    </row>
    <row r="173">
      <c r="A173" s="138"/>
      <c r="B173" s="138"/>
      <c r="C173" s="138"/>
      <c r="D173" s="138"/>
      <c r="E173" s="138"/>
      <c r="F173" s="138"/>
      <c r="G173" s="138"/>
      <c r="H173" s="138"/>
      <c r="I173" s="138"/>
      <c r="T173" s="31"/>
    </row>
    <row r="174">
      <c r="A174" s="138"/>
      <c r="B174" s="138"/>
      <c r="C174" s="138"/>
      <c r="D174" s="138"/>
      <c r="E174" s="138"/>
      <c r="F174" s="138"/>
      <c r="G174" s="138"/>
      <c r="H174" s="138"/>
      <c r="I174" s="138"/>
      <c r="T174" s="31"/>
    </row>
    <row r="175">
      <c r="A175" s="138"/>
      <c r="B175" s="138"/>
      <c r="C175" s="138"/>
      <c r="D175" s="138"/>
      <c r="E175" s="138"/>
      <c r="F175" s="138"/>
      <c r="G175" s="138"/>
      <c r="H175" s="138"/>
      <c r="I175" s="138"/>
      <c r="T175" s="31"/>
    </row>
    <row r="176">
      <c r="A176" s="138"/>
      <c r="B176" s="138"/>
      <c r="C176" s="138"/>
      <c r="D176" s="138"/>
      <c r="E176" s="138"/>
      <c r="F176" s="138"/>
      <c r="G176" s="138"/>
      <c r="H176" s="138"/>
      <c r="I176" s="138"/>
      <c r="T176" s="31"/>
    </row>
    <row r="177">
      <c r="A177" s="138"/>
      <c r="B177" s="138"/>
      <c r="C177" s="138"/>
      <c r="D177" s="138"/>
      <c r="E177" s="138"/>
      <c r="F177" s="138"/>
      <c r="G177" s="138"/>
      <c r="H177" s="138"/>
      <c r="I177" s="138"/>
      <c r="T177" s="31"/>
    </row>
    <row r="178">
      <c r="A178" s="138"/>
      <c r="B178" s="138"/>
      <c r="C178" s="138"/>
      <c r="D178" s="138"/>
      <c r="E178" s="138"/>
      <c r="F178" s="138"/>
      <c r="G178" s="138"/>
      <c r="H178" s="138"/>
      <c r="I178" s="138"/>
      <c r="T178" s="31"/>
    </row>
    <row r="179">
      <c r="A179" s="138"/>
      <c r="B179" s="138"/>
      <c r="C179" s="138"/>
      <c r="D179" s="138"/>
      <c r="E179" s="138"/>
      <c r="F179" s="138"/>
      <c r="G179" s="138"/>
      <c r="H179" s="138"/>
      <c r="I179" s="138"/>
      <c r="T179" s="31"/>
    </row>
    <row r="180">
      <c r="A180" s="138"/>
      <c r="B180" s="138"/>
      <c r="C180" s="138"/>
      <c r="D180" s="138"/>
      <c r="E180" s="138"/>
      <c r="F180" s="138"/>
      <c r="G180" s="138"/>
      <c r="H180" s="138"/>
      <c r="I180" s="138"/>
      <c r="T180" s="31"/>
    </row>
    <row r="181">
      <c r="A181" s="138"/>
      <c r="B181" s="138"/>
      <c r="C181" s="138"/>
      <c r="D181" s="138"/>
      <c r="E181" s="138"/>
      <c r="F181" s="138"/>
      <c r="G181" s="138"/>
      <c r="H181" s="138"/>
      <c r="I181" s="138"/>
      <c r="T181" s="31"/>
    </row>
    <row r="182">
      <c r="A182" s="138"/>
      <c r="B182" s="138"/>
      <c r="C182" s="138"/>
      <c r="D182" s="138"/>
      <c r="E182" s="138"/>
      <c r="F182" s="138"/>
      <c r="G182" s="138"/>
      <c r="H182" s="138"/>
      <c r="I182" s="138"/>
      <c r="T182" s="31"/>
    </row>
    <row r="183">
      <c r="A183" s="138"/>
      <c r="B183" s="138"/>
      <c r="C183" s="138"/>
      <c r="D183" s="138"/>
      <c r="E183" s="138"/>
      <c r="F183" s="138"/>
      <c r="G183" s="138"/>
      <c r="H183" s="138"/>
      <c r="I183" s="138"/>
      <c r="T183" s="31"/>
    </row>
    <row r="184">
      <c r="A184" s="138"/>
      <c r="B184" s="138"/>
      <c r="C184" s="138"/>
      <c r="D184" s="138"/>
      <c r="E184" s="138"/>
      <c r="F184" s="138"/>
      <c r="G184" s="138"/>
      <c r="H184" s="138"/>
      <c r="I184" s="138"/>
      <c r="T184" s="31"/>
    </row>
    <row r="185">
      <c r="A185" s="138"/>
      <c r="B185" s="138"/>
      <c r="C185" s="138"/>
      <c r="D185" s="138"/>
      <c r="E185" s="138"/>
      <c r="F185" s="138"/>
      <c r="G185" s="138"/>
      <c r="H185" s="138"/>
      <c r="I185" s="138"/>
      <c r="T185" s="31"/>
    </row>
    <row r="186">
      <c r="A186" s="138"/>
      <c r="B186" s="138"/>
      <c r="C186" s="138"/>
      <c r="D186" s="138"/>
      <c r="E186" s="138"/>
      <c r="F186" s="138"/>
      <c r="G186" s="138"/>
      <c r="H186" s="138"/>
      <c r="I186" s="138"/>
      <c r="T186" s="31"/>
    </row>
    <row r="187">
      <c r="A187" s="138"/>
      <c r="B187" s="138"/>
      <c r="C187" s="138"/>
      <c r="D187" s="138"/>
      <c r="E187" s="138"/>
      <c r="F187" s="138"/>
      <c r="G187" s="138"/>
      <c r="H187" s="138"/>
      <c r="I187" s="138"/>
      <c r="T187" s="31"/>
    </row>
    <row r="188">
      <c r="A188" s="138"/>
      <c r="B188" s="138"/>
      <c r="C188" s="138"/>
      <c r="D188" s="138"/>
      <c r="E188" s="138"/>
      <c r="F188" s="138"/>
      <c r="G188" s="138"/>
      <c r="H188" s="138"/>
      <c r="I188" s="138"/>
      <c r="T188" s="31"/>
    </row>
    <row r="189">
      <c r="A189" s="138"/>
      <c r="B189" s="138"/>
      <c r="C189" s="138"/>
      <c r="D189" s="138"/>
      <c r="E189" s="138"/>
      <c r="F189" s="138"/>
      <c r="G189" s="138"/>
      <c r="H189" s="138"/>
      <c r="I189" s="138"/>
      <c r="T189" s="31"/>
    </row>
    <row r="190">
      <c r="A190" s="138"/>
      <c r="B190" s="138"/>
      <c r="C190" s="138"/>
      <c r="D190" s="138"/>
      <c r="E190" s="138"/>
      <c r="F190" s="138"/>
      <c r="G190" s="138"/>
      <c r="H190" s="138"/>
      <c r="I190" s="138"/>
      <c r="T190" s="31"/>
    </row>
    <row r="191">
      <c r="A191" s="138"/>
      <c r="B191" s="138"/>
      <c r="C191" s="138"/>
      <c r="D191" s="138"/>
      <c r="E191" s="138"/>
      <c r="F191" s="138"/>
      <c r="G191" s="138"/>
      <c r="H191" s="138"/>
      <c r="I191" s="138"/>
      <c r="T191" s="31"/>
    </row>
    <row r="192">
      <c r="A192" s="138"/>
      <c r="B192" s="138"/>
      <c r="C192" s="138"/>
      <c r="D192" s="138"/>
      <c r="E192" s="138"/>
      <c r="F192" s="138"/>
      <c r="G192" s="138"/>
      <c r="H192" s="138"/>
      <c r="I192" s="138"/>
      <c r="T192" s="31"/>
    </row>
    <row r="193">
      <c r="A193" s="138"/>
      <c r="B193" s="138"/>
      <c r="C193" s="138"/>
      <c r="D193" s="138"/>
      <c r="E193" s="138"/>
      <c r="F193" s="138"/>
      <c r="G193" s="138"/>
      <c r="H193" s="138"/>
      <c r="I193" s="138"/>
      <c r="T193" s="31"/>
    </row>
    <row r="194">
      <c r="A194" s="138"/>
      <c r="B194" s="138"/>
      <c r="C194" s="138"/>
      <c r="D194" s="138"/>
      <c r="E194" s="138"/>
      <c r="F194" s="138"/>
      <c r="G194" s="138"/>
      <c r="H194" s="138"/>
      <c r="I194" s="138"/>
      <c r="T194" s="31"/>
    </row>
    <row r="195">
      <c r="A195" s="138"/>
      <c r="B195" s="138"/>
      <c r="C195" s="138"/>
      <c r="D195" s="138"/>
      <c r="E195" s="138"/>
      <c r="F195" s="138"/>
      <c r="G195" s="138"/>
      <c r="H195" s="138"/>
      <c r="I195" s="138"/>
      <c r="T195" s="31"/>
    </row>
    <row r="196">
      <c r="A196" s="138"/>
      <c r="B196" s="138"/>
      <c r="C196" s="138"/>
      <c r="D196" s="138"/>
      <c r="E196" s="138"/>
      <c r="F196" s="138"/>
      <c r="G196" s="138"/>
      <c r="H196" s="138"/>
      <c r="I196" s="138"/>
      <c r="T196" s="31"/>
    </row>
    <row r="197">
      <c r="A197" s="138"/>
      <c r="B197" s="138"/>
      <c r="C197" s="138"/>
      <c r="D197" s="138"/>
      <c r="E197" s="138"/>
      <c r="F197" s="138"/>
      <c r="G197" s="138"/>
      <c r="H197" s="138"/>
      <c r="I197" s="138"/>
      <c r="T197" s="31"/>
    </row>
    <row r="198">
      <c r="A198" s="138"/>
      <c r="B198" s="138"/>
      <c r="C198" s="138"/>
      <c r="D198" s="138"/>
      <c r="E198" s="138"/>
      <c r="F198" s="138"/>
      <c r="G198" s="138"/>
      <c r="H198" s="138"/>
      <c r="I198" s="138"/>
      <c r="T198" s="31"/>
    </row>
    <row r="199">
      <c r="A199" s="138"/>
      <c r="B199" s="138"/>
      <c r="C199" s="138"/>
      <c r="D199" s="138"/>
      <c r="E199" s="138"/>
      <c r="F199" s="138"/>
      <c r="G199" s="138"/>
      <c r="H199" s="138"/>
      <c r="I199" s="138"/>
      <c r="T199" s="31"/>
    </row>
    <row r="200">
      <c r="A200" s="138"/>
      <c r="B200" s="138"/>
      <c r="C200" s="138"/>
      <c r="D200" s="138"/>
      <c r="E200" s="138"/>
      <c r="F200" s="138"/>
      <c r="G200" s="138"/>
      <c r="H200" s="138"/>
      <c r="I200" s="138"/>
      <c r="T200" s="31"/>
    </row>
    <row r="201">
      <c r="A201" s="138"/>
      <c r="B201" s="138"/>
      <c r="C201" s="138"/>
      <c r="D201" s="138"/>
      <c r="E201" s="138"/>
      <c r="F201" s="138"/>
      <c r="G201" s="138"/>
      <c r="H201" s="138"/>
      <c r="I201" s="138"/>
      <c r="T201" s="31"/>
    </row>
    <row r="202">
      <c r="A202" s="138"/>
      <c r="B202" s="138"/>
      <c r="C202" s="138"/>
      <c r="D202" s="138"/>
      <c r="E202" s="138"/>
      <c r="F202" s="138"/>
      <c r="G202" s="138"/>
      <c r="H202" s="138"/>
      <c r="I202" s="138"/>
      <c r="T202" s="31"/>
    </row>
    <row r="203">
      <c r="A203" s="138"/>
      <c r="B203" s="138"/>
      <c r="C203" s="138"/>
      <c r="D203" s="138"/>
      <c r="E203" s="138"/>
      <c r="F203" s="138"/>
      <c r="G203" s="138"/>
      <c r="H203" s="138"/>
      <c r="I203" s="138"/>
      <c r="T203" s="31"/>
    </row>
    <row r="204">
      <c r="A204" s="138"/>
      <c r="B204" s="138"/>
      <c r="C204" s="138"/>
      <c r="D204" s="138"/>
      <c r="E204" s="138"/>
      <c r="F204" s="138"/>
      <c r="G204" s="138"/>
      <c r="H204" s="138"/>
      <c r="I204" s="138"/>
      <c r="T204" s="31"/>
    </row>
    <row r="205">
      <c r="A205" s="138"/>
      <c r="B205" s="138"/>
      <c r="C205" s="138"/>
      <c r="D205" s="138"/>
      <c r="E205" s="138"/>
      <c r="F205" s="138"/>
      <c r="G205" s="138"/>
      <c r="H205" s="138"/>
      <c r="I205" s="138"/>
      <c r="T205" s="31"/>
    </row>
    <row r="206">
      <c r="A206" s="138"/>
      <c r="B206" s="138"/>
      <c r="C206" s="138"/>
      <c r="D206" s="138"/>
      <c r="E206" s="138"/>
      <c r="F206" s="138"/>
      <c r="G206" s="138"/>
      <c r="H206" s="138"/>
      <c r="I206" s="138"/>
      <c r="T206" s="31"/>
    </row>
    <row r="207">
      <c r="A207" s="138"/>
      <c r="B207" s="138"/>
      <c r="C207" s="138"/>
      <c r="D207" s="138"/>
      <c r="E207" s="138"/>
      <c r="F207" s="138"/>
      <c r="G207" s="138"/>
      <c r="H207" s="138"/>
      <c r="I207" s="138"/>
      <c r="T207" s="31"/>
    </row>
    <row r="208">
      <c r="A208" s="138"/>
      <c r="B208" s="138"/>
      <c r="C208" s="138"/>
      <c r="D208" s="138"/>
      <c r="E208" s="138"/>
      <c r="F208" s="138"/>
      <c r="G208" s="138"/>
      <c r="H208" s="138"/>
      <c r="I208" s="138"/>
      <c r="T208" s="31"/>
    </row>
    <row r="209">
      <c r="A209" s="138"/>
      <c r="B209" s="138"/>
      <c r="C209" s="138"/>
      <c r="D209" s="138"/>
      <c r="E209" s="138"/>
      <c r="F209" s="138"/>
      <c r="G209" s="138"/>
      <c r="H209" s="138"/>
      <c r="I209" s="138"/>
      <c r="T209" s="31"/>
    </row>
    <row r="210">
      <c r="A210" s="138"/>
      <c r="B210" s="138"/>
      <c r="C210" s="138"/>
      <c r="D210" s="138"/>
      <c r="E210" s="138"/>
      <c r="F210" s="138"/>
      <c r="G210" s="138"/>
      <c r="H210" s="138"/>
      <c r="I210" s="138"/>
      <c r="T210" s="31"/>
    </row>
    <row r="211">
      <c r="A211" s="138"/>
      <c r="B211" s="138"/>
      <c r="C211" s="138"/>
      <c r="D211" s="138"/>
      <c r="E211" s="138"/>
      <c r="F211" s="138"/>
      <c r="G211" s="138"/>
      <c r="H211" s="138"/>
      <c r="I211" s="138"/>
      <c r="T211" s="31"/>
    </row>
    <row r="212">
      <c r="A212" s="138"/>
      <c r="B212" s="138"/>
      <c r="C212" s="138"/>
      <c r="D212" s="138"/>
      <c r="E212" s="138"/>
      <c r="F212" s="138"/>
      <c r="G212" s="138"/>
      <c r="H212" s="138"/>
      <c r="I212" s="138"/>
      <c r="T212" s="31"/>
    </row>
    <row r="213">
      <c r="A213" s="138"/>
      <c r="B213" s="138"/>
      <c r="C213" s="138"/>
      <c r="D213" s="138"/>
      <c r="E213" s="138"/>
      <c r="F213" s="138"/>
      <c r="G213" s="138"/>
      <c r="H213" s="138"/>
      <c r="I213" s="138"/>
      <c r="T213" s="31"/>
    </row>
    <row r="214">
      <c r="A214" s="138"/>
      <c r="B214" s="138"/>
      <c r="C214" s="138"/>
      <c r="D214" s="138"/>
      <c r="E214" s="138"/>
      <c r="F214" s="138"/>
      <c r="G214" s="138"/>
      <c r="H214" s="138"/>
      <c r="I214" s="138"/>
      <c r="T214" s="31"/>
    </row>
    <row r="215">
      <c r="A215" s="138"/>
      <c r="B215" s="138"/>
      <c r="C215" s="138"/>
      <c r="D215" s="138"/>
      <c r="E215" s="138"/>
      <c r="F215" s="138"/>
      <c r="G215" s="138"/>
      <c r="H215" s="138"/>
      <c r="I215" s="138"/>
      <c r="T215" s="31"/>
    </row>
    <row r="216">
      <c r="A216" s="138"/>
      <c r="B216" s="138"/>
      <c r="C216" s="138"/>
      <c r="D216" s="138"/>
      <c r="E216" s="138"/>
      <c r="F216" s="138"/>
      <c r="G216" s="138"/>
      <c r="H216" s="138"/>
      <c r="I216" s="138"/>
      <c r="T216" s="31"/>
    </row>
    <row r="217">
      <c r="A217" s="138"/>
      <c r="B217" s="138"/>
      <c r="C217" s="138"/>
      <c r="D217" s="138"/>
      <c r="E217" s="138"/>
      <c r="F217" s="138"/>
      <c r="G217" s="138"/>
      <c r="H217" s="138"/>
      <c r="I217" s="138"/>
      <c r="T217" s="31"/>
    </row>
    <row r="218">
      <c r="A218" s="138"/>
      <c r="B218" s="138"/>
      <c r="C218" s="138"/>
      <c r="D218" s="138"/>
      <c r="E218" s="138"/>
      <c r="F218" s="138"/>
      <c r="G218" s="138"/>
      <c r="H218" s="138"/>
      <c r="I218" s="138"/>
      <c r="T218" s="31"/>
    </row>
    <row r="219">
      <c r="A219" s="138"/>
      <c r="B219" s="138"/>
      <c r="C219" s="138"/>
      <c r="D219" s="138"/>
      <c r="E219" s="138"/>
      <c r="F219" s="138"/>
      <c r="G219" s="138"/>
      <c r="H219" s="138"/>
      <c r="I219" s="138"/>
      <c r="T219" s="31"/>
    </row>
    <row r="220">
      <c r="A220" s="138"/>
      <c r="B220" s="138"/>
      <c r="C220" s="138"/>
      <c r="D220" s="138"/>
      <c r="E220" s="138"/>
      <c r="F220" s="138"/>
      <c r="G220" s="138"/>
      <c r="H220" s="138"/>
      <c r="I220" s="138"/>
      <c r="T220" s="31"/>
    </row>
    <row r="221">
      <c r="A221" s="138"/>
      <c r="B221" s="138"/>
      <c r="C221" s="138"/>
      <c r="D221" s="138"/>
      <c r="E221" s="138"/>
      <c r="F221" s="138"/>
      <c r="G221" s="138"/>
      <c r="H221" s="138"/>
      <c r="I221" s="138"/>
      <c r="T221" s="31"/>
    </row>
    <row r="222">
      <c r="A222" s="138"/>
      <c r="B222" s="138"/>
      <c r="C222" s="138"/>
      <c r="D222" s="138"/>
      <c r="E222" s="138"/>
      <c r="F222" s="138"/>
      <c r="G222" s="138"/>
      <c r="H222" s="138"/>
      <c r="I222" s="138"/>
      <c r="T222" s="31"/>
    </row>
    <row r="223">
      <c r="A223" s="138"/>
      <c r="B223" s="138"/>
      <c r="C223" s="138"/>
      <c r="D223" s="138"/>
      <c r="E223" s="138"/>
      <c r="F223" s="138"/>
      <c r="G223" s="138"/>
      <c r="H223" s="138"/>
      <c r="I223" s="138"/>
      <c r="T223" s="31"/>
    </row>
    <row r="224">
      <c r="A224" s="138"/>
      <c r="B224" s="138"/>
      <c r="C224" s="138"/>
      <c r="D224" s="138"/>
      <c r="E224" s="138"/>
      <c r="F224" s="138"/>
      <c r="G224" s="138"/>
      <c r="H224" s="138"/>
      <c r="I224" s="138"/>
      <c r="T224" s="31"/>
    </row>
    <row r="225">
      <c r="A225" s="138"/>
      <c r="B225" s="138"/>
      <c r="C225" s="138"/>
      <c r="D225" s="138"/>
      <c r="E225" s="138"/>
      <c r="F225" s="138"/>
      <c r="G225" s="138"/>
      <c r="H225" s="138"/>
      <c r="I225" s="138"/>
      <c r="T225" s="31"/>
    </row>
    <row r="226">
      <c r="A226" s="138"/>
      <c r="B226" s="138"/>
      <c r="C226" s="138"/>
      <c r="D226" s="138"/>
      <c r="E226" s="138"/>
      <c r="F226" s="138"/>
      <c r="G226" s="138"/>
      <c r="H226" s="138"/>
      <c r="I226" s="138"/>
      <c r="T226" s="31"/>
    </row>
    <row r="227">
      <c r="A227" s="138"/>
      <c r="B227" s="138"/>
      <c r="C227" s="138"/>
      <c r="D227" s="138"/>
      <c r="E227" s="138"/>
      <c r="F227" s="138"/>
      <c r="G227" s="138"/>
      <c r="H227" s="138"/>
      <c r="I227" s="138"/>
      <c r="T227" s="31"/>
    </row>
    <row r="228">
      <c r="A228" s="138"/>
      <c r="B228" s="138"/>
      <c r="C228" s="138"/>
      <c r="D228" s="138"/>
      <c r="E228" s="138"/>
      <c r="F228" s="138"/>
      <c r="G228" s="138"/>
      <c r="H228" s="138"/>
      <c r="I228" s="138"/>
      <c r="T228" s="31"/>
    </row>
    <row r="229">
      <c r="A229" s="138"/>
      <c r="B229" s="138"/>
      <c r="C229" s="138"/>
      <c r="D229" s="138"/>
      <c r="E229" s="138"/>
      <c r="F229" s="138"/>
      <c r="G229" s="138"/>
      <c r="H229" s="138"/>
      <c r="I229" s="138"/>
      <c r="T229" s="31"/>
    </row>
    <row r="230">
      <c r="A230" s="138"/>
      <c r="B230" s="138"/>
      <c r="C230" s="138"/>
      <c r="D230" s="138"/>
      <c r="E230" s="138"/>
      <c r="F230" s="138"/>
      <c r="G230" s="138"/>
      <c r="H230" s="138"/>
      <c r="I230" s="138"/>
      <c r="T230" s="31"/>
    </row>
    <row r="231">
      <c r="A231" s="138"/>
      <c r="B231" s="138"/>
      <c r="C231" s="138"/>
      <c r="D231" s="138"/>
      <c r="E231" s="138"/>
      <c r="F231" s="138"/>
      <c r="G231" s="138"/>
      <c r="H231" s="138"/>
      <c r="I231" s="138"/>
      <c r="T231" s="31"/>
    </row>
    <row r="232">
      <c r="A232" s="138"/>
      <c r="B232" s="138"/>
      <c r="C232" s="138"/>
      <c r="D232" s="138"/>
      <c r="E232" s="138"/>
      <c r="F232" s="138"/>
      <c r="G232" s="138"/>
      <c r="H232" s="138"/>
      <c r="I232" s="138"/>
      <c r="T232" s="31"/>
    </row>
    <row r="233">
      <c r="A233" s="138"/>
      <c r="B233" s="138"/>
      <c r="C233" s="138"/>
      <c r="D233" s="138"/>
      <c r="E233" s="138"/>
      <c r="F233" s="138"/>
      <c r="G233" s="138"/>
      <c r="H233" s="138"/>
      <c r="I233" s="138"/>
      <c r="T233" s="31"/>
    </row>
    <row r="234">
      <c r="A234" s="138"/>
      <c r="B234" s="138"/>
      <c r="C234" s="138"/>
      <c r="D234" s="138"/>
      <c r="E234" s="138"/>
      <c r="F234" s="138"/>
      <c r="G234" s="138"/>
      <c r="H234" s="138"/>
      <c r="I234" s="138"/>
      <c r="T234" s="31"/>
    </row>
    <row r="235">
      <c r="A235" s="138"/>
      <c r="B235" s="138"/>
      <c r="C235" s="138"/>
      <c r="D235" s="138"/>
      <c r="E235" s="138"/>
      <c r="F235" s="138"/>
      <c r="G235" s="138"/>
      <c r="H235" s="138"/>
      <c r="I235" s="138"/>
      <c r="T235" s="31"/>
    </row>
    <row r="236">
      <c r="A236" s="138"/>
      <c r="B236" s="138"/>
      <c r="C236" s="138"/>
      <c r="D236" s="138"/>
      <c r="E236" s="138"/>
      <c r="F236" s="138"/>
      <c r="G236" s="138"/>
      <c r="H236" s="138"/>
      <c r="I236" s="138"/>
      <c r="T236" s="31"/>
    </row>
    <row r="237">
      <c r="A237" s="138"/>
      <c r="B237" s="138"/>
      <c r="C237" s="138"/>
      <c r="D237" s="138"/>
      <c r="E237" s="138"/>
      <c r="F237" s="138"/>
      <c r="G237" s="138"/>
      <c r="H237" s="138"/>
      <c r="I237" s="138"/>
      <c r="T237" s="31"/>
    </row>
    <row r="238">
      <c r="A238" s="138"/>
      <c r="B238" s="138"/>
      <c r="C238" s="138"/>
      <c r="D238" s="138"/>
      <c r="E238" s="138"/>
      <c r="F238" s="138"/>
      <c r="G238" s="138"/>
      <c r="H238" s="138"/>
      <c r="I238" s="138"/>
      <c r="T238" s="31"/>
    </row>
    <row r="239">
      <c r="A239" s="138"/>
      <c r="B239" s="138"/>
      <c r="C239" s="138"/>
      <c r="D239" s="138"/>
      <c r="E239" s="138"/>
      <c r="F239" s="138"/>
      <c r="G239" s="138"/>
      <c r="H239" s="138"/>
      <c r="I239" s="138"/>
      <c r="T239" s="31"/>
    </row>
    <row r="240">
      <c r="A240" s="138"/>
      <c r="B240" s="138"/>
      <c r="C240" s="138"/>
      <c r="D240" s="138"/>
      <c r="E240" s="138"/>
      <c r="F240" s="138"/>
      <c r="G240" s="138"/>
      <c r="H240" s="138"/>
      <c r="I240" s="138"/>
      <c r="T240" s="31"/>
    </row>
    <row r="241">
      <c r="A241" s="138"/>
      <c r="B241" s="138"/>
      <c r="C241" s="138"/>
      <c r="D241" s="138"/>
      <c r="E241" s="138"/>
      <c r="F241" s="138"/>
      <c r="G241" s="138"/>
      <c r="H241" s="138"/>
      <c r="I241" s="138"/>
      <c r="T241" s="31"/>
    </row>
    <row r="242">
      <c r="A242" s="138"/>
      <c r="B242" s="138"/>
      <c r="C242" s="138"/>
      <c r="D242" s="138"/>
      <c r="E242" s="138"/>
      <c r="F242" s="138"/>
      <c r="G242" s="138"/>
      <c r="H242" s="138"/>
      <c r="I242" s="138"/>
      <c r="T242" s="31"/>
    </row>
    <row r="243">
      <c r="A243" s="138"/>
      <c r="B243" s="138"/>
      <c r="C243" s="138"/>
      <c r="D243" s="138"/>
      <c r="E243" s="138"/>
      <c r="F243" s="138"/>
      <c r="G243" s="138"/>
      <c r="H243" s="138"/>
      <c r="I243" s="138"/>
      <c r="T243" s="31"/>
    </row>
    <row r="244">
      <c r="A244" s="138"/>
      <c r="B244" s="138"/>
      <c r="C244" s="138"/>
      <c r="D244" s="138"/>
      <c r="E244" s="138"/>
      <c r="F244" s="138"/>
      <c r="G244" s="138"/>
      <c r="H244" s="138"/>
      <c r="I244" s="138"/>
      <c r="T244" s="31"/>
    </row>
    <row r="245">
      <c r="A245" s="138"/>
      <c r="B245" s="138"/>
      <c r="C245" s="138"/>
      <c r="D245" s="138"/>
      <c r="E245" s="138"/>
      <c r="F245" s="138"/>
      <c r="G245" s="138"/>
      <c r="H245" s="138"/>
      <c r="I245" s="138"/>
      <c r="T245" s="31"/>
    </row>
    <row r="246">
      <c r="A246" s="138"/>
      <c r="B246" s="138"/>
      <c r="C246" s="138"/>
      <c r="D246" s="138"/>
      <c r="E246" s="138"/>
      <c r="F246" s="138"/>
      <c r="G246" s="138"/>
      <c r="H246" s="138"/>
      <c r="I246" s="138"/>
      <c r="T246" s="31"/>
    </row>
    <row r="247">
      <c r="A247" s="138"/>
      <c r="B247" s="138"/>
      <c r="C247" s="138"/>
      <c r="D247" s="138"/>
      <c r="E247" s="138"/>
      <c r="F247" s="138"/>
      <c r="G247" s="138"/>
      <c r="H247" s="138"/>
      <c r="I247" s="138"/>
      <c r="T247" s="31"/>
    </row>
    <row r="248">
      <c r="A248" s="138"/>
      <c r="B248" s="138"/>
      <c r="C248" s="138"/>
      <c r="D248" s="138"/>
      <c r="E248" s="138"/>
      <c r="F248" s="138"/>
      <c r="G248" s="138"/>
      <c r="H248" s="138"/>
      <c r="I248" s="138"/>
      <c r="T248" s="31"/>
    </row>
    <row r="249">
      <c r="A249" s="138"/>
      <c r="B249" s="138"/>
      <c r="C249" s="138"/>
      <c r="D249" s="138"/>
      <c r="E249" s="138"/>
      <c r="F249" s="138"/>
      <c r="G249" s="138"/>
      <c r="H249" s="138"/>
      <c r="I249" s="138"/>
      <c r="T249" s="31"/>
    </row>
    <row r="250">
      <c r="A250" s="138"/>
      <c r="B250" s="138"/>
      <c r="C250" s="138"/>
      <c r="D250" s="138"/>
      <c r="E250" s="138"/>
      <c r="F250" s="138"/>
      <c r="G250" s="138"/>
      <c r="H250" s="138"/>
      <c r="I250" s="138"/>
      <c r="T250" s="31"/>
    </row>
    <row r="251">
      <c r="A251" s="138"/>
      <c r="B251" s="138"/>
      <c r="C251" s="138"/>
      <c r="D251" s="138"/>
      <c r="E251" s="138"/>
      <c r="F251" s="138"/>
      <c r="G251" s="138"/>
      <c r="H251" s="138"/>
      <c r="I251" s="138"/>
      <c r="T251" s="31"/>
    </row>
    <row r="252">
      <c r="A252" s="138"/>
      <c r="B252" s="138"/>
      <c r="C252" s="138"/>
      <c r="D252" s="138"/>
      <c r="E252" s="138"/>
      <c r="F252" s="138"/>
      <c r="G252" s="138"/>
      <c r="H252" s="138"/>
      <c r="I252" s="138"/>
      <c r="T252" s="31"/>
    </row>
    <row r="253">
      <c r="A253" s="138"/>
      <c r="B253" s="138"/>
      <c r="C253" s="138"/>
      <c r="D253" s="138"/>
      <c r="E253" s="138"/>
      <c r="F253" s="138"/>
      <c r="G253" s="138"/>
      <c r="H253" s="138"/>
      <c r="I253" s="138"/>
      <c r="T253" s="31"/>
    </row>
    <row r="254">
      <c r="A254" s="138"/>
      <c r="B254" s="138"/>
      <c r="C254" s="138"/>
      <c r="D254" s="138"/>
      <c r="E254" s="138"/>
      <c r="F254" s="138"/>
      <c r="G254" s="138"/>
      <c r="H254" s="138"/>
      <c r="I254" s="138"/>
      <c r="T254" s="31"/>
    </row>
    <row r="255">
      <c r="A255" s="138"/>
      <c r="B255" s="138"/>
      <c r="C255" s="138"/>
      <c r="D255" s="138"/>
      <c r="E255" s="138"/>
      <c r="F255" s="138"/>
      <c r="G255" s="138"/>
      <c r="H255" s="138"/>
      <c r="I255" s="138"/>
      <c r="T255" s="31"/>
    </row>
    <row r="256">
      <c r="A256" s="138"/>
      <c r="B256" s="138"/>
      <c r="C256" s="138"/>
      <c r="D256" s="138"/>
      <c r="E256" s="138"/>
      <c r="F256" s="138"/>
      <c r="G256" s="138"/>
      <c r="H256" s="138"/>
      <c r="I256" s="138"/>
      <c r="T256" s="31"/>
    </row>
    <row r="257">
      <c r="A257" s="138"/>
      <c r="B257" s="138"/>
      <c r="C257" s="138"/>
      <c r="D257" s="138"/>
      <c r="E257" s="138"/>
      <c r="F257" s="138"/>
      <c r="G257" s="138"/>
      <c r="H257" s="138"/>
      <c r="I257" s="138"/>
      <c r="T257" s="31"/>
    </row>
    <row r="258">
      <c r="A258" s="138"/>
      <c r="B258" s="138"/>
      <c r="C258" s="138"/>
      <c r="D258" s="138"/>
      <c r="E258" s="138"/>
      <c r="F258" s="138"/>
      <c r="G258" s="138"/>
      <c r="H258" s="138"/>
      <c r="I258" s="138"/>
      <c r="T258" s="31"/>
    </row>
    <row r="259">
      <c r="A259" s="138"/>
      <c r="B259" s="138"/>
      <c r="C259" s="138"/>
      <c r="D259" s="138"/>
      <c r="E259" s="138"/>
      <c r="F259" s="138"/>
      <c r="G259" s="138"/>
      <c r="H259" s="138"/>
      <c r="I259" s="138"/>
      <c r="T259" s="31"/>
    </row>
    <row r="260">
      <c r="A260" s="138"/>
      <c r="B260" s="138"/>
      <c r="C260" s="138"/>
      <c r="D260" s="138"/>
      <c r="E260" s="138"/>
      <c r="F260" s="138"/>
      <c r="G260" s="138"/>
      <c r="H260" s="138"/>
      <c r="I260" s="138"/>
      <c r="T260" s="31"/>
    </row>
    <row r="261">
      <c r="A261" s="138"/>
      <c r="B261" s="138"/>
      <c r="C261" s="138"/>
      <c r="D261" s="138"/>
      <c r="E261" s="138"/>
      <c r="F261" s="138"/>
      <c r="G261" s="138"/>
      <c r="H261" s="138"/>
      <c r="I261" s="138"/>
      <c r="T261" s="31"/>
    </row>
    <row r="262">
      <c r="A262" s="138"/>
      <c r="B262" s="138"/>
      <c r="C262" s="138"/>
      <c r="D262" s="138"/>
      <c r="E262" s="138"/>
      <c r="F262" s="138"/>
      <c r="G262" s="138"/>
      <c r="H262" s="138"/>
      <c r="I262" s="138"/>
      <c r="T262" s="31"/>
    </row>
    <row r="263">
      <c r="A263" s="138"/>
      <c r="B263" s="138"/>
      <c r="C263" s="138"/>
      <c r="D263" s="138"/>
      <c r="E263" s="138"/>
      <c r="F263" s="138"/>
      <c r="G263" s="138"/>
      <c r="H263" s="138"/>
      <c r="I263" s="138"/>
      <c r="T263" s="31"/>
    </row>
    <row r="264">
      <c r="A264" s="138"/>
      <c r="B264" s="138"/>
      <c r="C264" s="138"/>
      <c r="D264" s="138"/>
      <c r="E264" s="138"/>
      <c r="F264" s="138"/>
      <c r="G264" s="138"/>
      <c r="H264" s="138"/>
      <c r="I264" s="138"/>
      <c r="T264" s="31"/>
    </row>
    <row r="265">
      <c r="A265" s="138"/>
      <c r="B265" s="138"/>
      <c r="C265" s="138"/>
      <c r="D265" s="138"/>
      <c r="E265" s="138"/>
      <c r="F265" s="138"/>
      <c r="G265" s="138"/>
      <c r="H265" s="138"/>
      <c r="I265" s="138"/>
      <c r="T265" s="31"/>
    </row>
    <row r="266">
      <c r="A266" s="138"/>
      <c r="B266" s="138"/>
      <c r="C266" s="138"/>
      <c r="D266" s="138"/>
      <c r="E266" s="138"/>
      <c r="F266" s="138"/>
      <c r="G266" s="138"/>
      <c r="H266" s="138"/>
      <c r="I266" s="138"/>
      <c r="T266" s="31"/>
    </row>
    <row r="267">
      <c r="A267" s="138"/>
      <c r="B267" s="138"/>
      <c r="C267" s="138"/>
      <c r="D267" s="138"/>
      <c r="E267" s="138"/>
      <c r="F267" s="138"/>
      <c r="G267" s="138"/>
      <c r="H267" s="138"/>
      <c r="I267" s="138"/>
      <c r="T267" s="31"/>
    </row>
    <row r="268">
      <c r="A268" s="138"/>
      <c r="B268" s="138"/>
      <c r="C268" s="138"/>
      <c r="D268" s="138"/>
      <c r="E268" s="138"/>
      <c r="F268" s="138"/>
      <c r="G268" s="138"/>
      <c r="H268" s="138"/>
      <c r="I268" s="138"/>
      <c r="T268" s="31"/>
    </row>
    <row r="269">
      <c r="A269" s="138"/>
      <c r="B269" s="138"/>
      <c r="C269" s="138"/>
      <c r="D269" s="138"/>
      <c r="E269" s="138"/>
      <c r="F269" s="138"/>
      <c r="G269" s="138"/>
      <c r="H269" s="138"/>
      <c r="I269" s="138"/>
      <c r="T269" s="31"/>
    </row>
    <row r="270">
      <c r="A270" s="138"/>
      <c r="B270" s="138"/>
      <c r="C270" s="138"/>
      <c r="D270" s="138"/>
      <c r="E270" s="138"/>
      <c r="F270" s="138"/>
      <c r="G270" s="138"/>
      <c r="H270" s="138"/>
      <c r="I270" s="138"/>
      <c r="T270" s="31"/>
    </row>
    <row r="271">
      <c r="A271" s="138"/>
      <c r="B271" s="138"/>
      <c r="C271" s="138"/>
      <c r="D271" s="138"/>
      <c r="E271" s="138"/>
      <c r="F271" s="138"/>
      <c r="G271" s="138"/>
      <c r="H271" s="138"/>
      <c r="I271" s="138"/>
      <c r="T271" s="31"/>
    </row>
    <row r="272">
      <c r="A272" s="138"/>
      <c r="B272" s="138"/>
      <c r="C272" s="138"/>
      <c r="D272" s="138"/>
      <c r="E272" s="138"/>
      <c r="F272" s="138"/>
      <c r="G272" s="138"/>
      <c r="H272" s="138"/>
      <c r="I272" s="138"/>
      <c r="T272" s="31"/>
    </row>
    <row r="273">
      <c r="A273" s="138"/>
      <c r="B273" s="138"/>
      <c r="C273" s="138"/>
      <c r="D273" s="138"/>
      <c r="E273" s="138"/>
      <c r="F273" s="138"/>
      <c r="G273" s="138"/>
      <c r="H273" s="138"/>
      <c r="I273" s="138"/>
      <c r="T273" s="31"/>
    </row>
    <row r="274">
      <c r="A274" s="138"/>
      <c r="B274" s="138"/>
      <c r="C274" s="138"/>
      <c r="D274" s="138"/>
      <c r="E274" s="138"/>
      <c r="F274" s="138"/>
      <c r="G274" s="138"/>
      <c r="H274" s="138"/>
      <c r="I274" s="138"/>
      <c r="T274" s="31"/>
    </row>
    <row r="275">
      <c r="A275" s="138"/>
      <c r="B275" s="138"/>
      <c r="C275" s="138"/>
      <c r="D275" s="138"/>
      <c r="E275" s="138"/>
      <c r="F275" s="138"/>
      <c r="G275" s="138"/>
      <c r="H275" s="138"/>
      <c r="I275" s="138"/>
      <c r="T275" s="31"/>
    </row>
    <row r="276">
      <c r="A276" s="138"/>
      <c r="B276" s="138"/>
      <c r="C276" s="138"/>
      <c r="D276" s="138"/>
      <c r="E276" s="138"/>
      <c r="F276" s="138"/>
      <c r="G276" s="138"/>
      <c r="H276" s="138"/>
      <c r="I276" s="138"/>
      <c r="T276" s="31"/>
    </row>
    <row r="277">
      <c r="A277" s="138"/>
      <c r="B277" s="138"/>
      <c r="C277" s="138"/>
      <c r="D277" s="138"/>
      <c r="E277" s="138"/>
      <c r="F277" s="138"/>
      <c r="G277" s="138"/>
      <c r="H277" s="138"/>
      <c r="I277" s="138"/>
      <c r="T277" s="31"/>
    </row>
    <row r="278">
      <c r="A278" s="138"/>
      <c r="B278" s="138"/>
      <c r="C278" s="138"/>
      <c r="D278" s="138"/>
      <c r="E278" s="138"/>
      <c r="F278" s="138"/>
      <c r="G278" s="138"/>
      <c r="H278" s="138"/>
      <c r="I278" s="138"/>
      <c r="T278" s="31"/>
    </row>
    <row r="279">
      <c r="A279" s="138"/>
      <c r="B279" s="138"/>
      <c r="C279" s="138"/>
      <c r="D279" s="138"/>
      <c r="E279" s="138"/>
      <c r="F279" s="138"/>
      <c r="G279" s="138"/>
      <c r="H279" s="138"/>
      <c r="I279" s="138"/>
      <c r="T279" s="31"/>
    </row>
    <row r="280">
      <c r="A280" s="138"/>
      <c r="B280" s="138"/>
      <c r="C280" s="138"/>
      <c r="D280" s="138"/>
      <c r="E280" s="138"/>
      <c r="F280" s="138"/>
      <c r="G280" s="138"/>
      <c r="H280" s="138"/>
      <c r="I280" s="138"/>
      <c r="T280" s="31"/>
    </row>
    <row r="281">
      <c r="A281" s="138"/>
      <c r="B281" s="138"/>
      <c r="C281" s="138"/>
      <c r="D281" s="138"/>
      <c r="E281" s="138"/>
      <c r="F281" s="138"/>
      <c r="G281" s="138"/>
      <c r="H281" s="138"/>
      <c r="I281" s="138"/>
      <c r="T281" s="31"/>
    </row>
    <row r="282">
      <c r="A282" s="138"/>
      <c r="B282" s="138"/>
      <c r="C282" s="138"/>
      <c r="D282" s="138"/>
      <c r="E282" s="138"/>
      <c r="F282" s="138"/>
      <c r="G282" s="138"/>
      <c r="H282" s="138"/>
      <c r="I282" s="138"/>
      <c r="T282" s="31"/>
    </row>
    <row r="283">
      <c r="A283" s="138"/>
      <c r="B283" s="138"/>
      <c r="C283" s="138"/>
      <c r="D283" s="138"/>
      <c r="E283" s="138"/>
      <c r="F283" s="138"/>
      <c r="G283" s="138"/>
      <c r="H283" s="138"/>
      <c r="I283" s="138"/>
      <c r="T283" s="31"/>
    </row>
    <row r="284">
      <c r="A284" s="138"/>
      <c r="B284" s="138"/>
      <c r="C284" s="138"/>
      <c r="D284" s="138"/>
      <c r="E284" s="138"/>
      <c r="F284" s="138"/>
      <c r="G284" s="138"/>
      <c r="H284" s="138"/>
      <c r="I284" s="138"/>
      <c r="T284" s="31"/>
    </row>
    <row r="285">
      <c r="A285" s="138"/>
      <c r="B285" s="138"/>
      <c r="C285" s="138"/>
      <c r="D285" s="138"/>
      <c r="E285" s="138"/>
      <c r="F285" s="138"/>
      <c r="G285" s="138"/>
      <c r="H285" s="138"/>
      <c r="I285" s="138"/>
      <c r="T285" s="31"/>
    </row>
    <row r="286">
      <c r="A286" s="138"/>
      <c r="B286" s="138"/>
      <c r="C286" s="138"/>
      <c r="D286" s="138"/>
      <c r="E286" s="138"/>
      <c r="F286" s="138"/>
      <c r="G286" s="138"/>
      <c r="H286" s="138"/>
      <c r="I286" s="138"/>
      <c r="T286" s="31"/>
    </row>
    <row r="287">
      <c r="A287" s="138"/>
      <c r="B287" s="138"/>
      <c r="C287" s="138"/>
      <c r="D287" s="138"/>
      <c r="E287" s="138"/>
      <c r="F287" s="138"/>
      <c r="G287" s="138"/>
      <c r="H287" s="138"/>
      <c r="I287" s="138"/>
      <c r="T287" s="31"/>
    </row>
    <row r="288">
      <c r="A288" s="138"/>
      <c r="B288" s="138"/>
      <c r="C288" s="138"/>
      <c r="D288" s="138"/>
      <c r="E288" s="138"/>
      <c r="F288" s="138"/>
      <c r="G288" s="138"/>
      <c r="H288" s="138"/>
      <c r="I288" s="138"/>
      <c r="T288" s="31"/>
    </row>
    <row r="289">
      <c r="A289" s="138"/>
      <c r="B289" s="138"/>
      <c r="C289" s="138"/>
      <c r="D289" s="138"/>
      <c r="E289" s="138"/>
      <c r="F289" s="138"/>
      <c r="G289" s="138"/>
      <c r="H289" s="138"/>
      <c r="I289" s="138"/>
      <c r="T289" s="31"/>
    </row>
    <row r="290">
      <c r="A290" s="138"/>
      <c r="B290" s="138"/>
      <c r="C290" s="138"/>
      <c r="D290" s="138"/>
      <c r="E290" s="138"/>
      <c r="F290" s="138"/>
      <c r="G290" s="138"/>
      <c r="H290" s="138"/>
      <c r="I290" s="138"/>
      <c r="T290" s="31"/>
    </row>
    <row r="291">
      <c r="A291" s="138"/>
      <c r="B291" s="138"/>
      <c r="C291" s="138"/>
      <c r="D291" s="138"/>
      <c r="E291" s="138"/>
      <c r="F291" s="138"/>
      <c r="G291" s="138"/>
      <c r="H291" s="138"/>
      <c r="I291" s="138"/>
      <c r="T291" s="31"/>
    </row>
    <row r="292">
      <c r="A292" s="138"/>
      <c r="B292" s="138"/>
      <c r="C292" s="138"/>
      <c r="D292" s="138"/>
      <c r="E292" s="138"/>
      <c r="F292" s="138"/>
      <c r="G292" s="138"/>
      <c r="H292" s="138"/>
      <c r="I292" s="138"/>
      <c r="T292" s="31"/>
    </row>
    <row r="293">
      <c r="A293" s="138"/>
      <c r="B293" s="138"/>
      <c r="C293" s="138"/>
      <c r="D293" s="138"/>
      <c r="E293" s="138"/>
      <c r="F293" s="138"/>
      <c r="G293" s="138"/>
      <c r="H293" s="138"/>
      <c r="I293" s="138"/>
      <c r="T293" s="31"/>
    </row>
    <row r="294">
      <c r="A294" s="138"/>
      <c r="B294" s="138"/>
      <c r="C294" s="138"/>
      <c r="D294" s="138"/>
      <c r="E294" s="138"/>
      <c r="F294" s="138"/>
      <c r="G294" s="138"/>
      <c r="H294" s="138"/>
      <c r="I294" s="138"/>
      <c r="T294" s="31"/>
    </row>
    <row r="295">
      <c r="A295" s="138"/>
      <c r="B295" s="138"/>
      <c r="C295" s="138"/>
      <c r="D295" s="138"/>
      <c r="E295" s="138"/>
      <c r="F295" s="138"/>
      <c r="G295" s="138"/>
      <c r="H295" s="138"/>
      <c r="I295" s="138"/>
      <c r="T295" s="31"/>
    </row>
    <row r="296">
      <c r="A296" s="138"/>
      <c r="B296" s="138"/>
      <c r="C296" s="138"/>
      <c r="D296" s="138"/>
      <c r="E296" s="138"/>
      <c r="F296" s="138"/>
      <c r="G296" s="138"/>
      <c r="H296" s="138"/>
      <c r="I296" s="138"/>
      <c r="T296" s="31"/>
    </row>
    <row r="297">
      <c r="A297" s="138"/>
      <c r="B297" s="138"/>
      <c r="C297" s="138"/>
      <c r="D297" s="138"/>
      <c r="E297" s="138"/>
      <c r="F297" s="138"/>
      <c r="G297" s="138"/>
      <c r="H297" s="138"/>
      <c r="I297" s="138"/>
      <c r="T297" s="31"/>
    </row>
    <row r="298">
      <c r="A298" s="138"/>
      <c r="B298" s="138"/>
      <c r="C298" s="138"/>
      <c r="D298" s="138"/>
      <c r="E298" s="138"/>
      <c r="F298" s="138"/>
      <c r="G298" s="138"/>
      <c r="H298" s="138"/>
      <c r="I298" s="138"/>
      <c r="T298" s="31"/>
    </row>
    <row r="299">
      <c r="A299" s="138"/>
      <c r="B299" s="138"/>
      <c r="C299" s="138"/>
      <c r="D299" s="138"/>
      <c r="E299" s="138"/>
      <c r="F299" s="138"/>
      <c r="G299" s="138"/>
      <c r="H299" s="138"/>
      <c r="I299" s="138"/>
      <c r="T299" s="31"/>
    </row>
    <row r="300">
      <c r="A300" s="138"/>
      <c r="B300" s="138"/>
      <c r="C300" s="138"/>
      <c r="D300" s="138"/>
      <c r="E300" s="138"/>
      <c r="F300" s="138"/>
      <c r="G300" s="138"/>
      <c r="H300" s="138"/>
      <c r="I300" s="138"/>
      <c r="T300" s="31"/>
    </row>
    <row r="301">
      <c r="A301" s="138"/>
      <c r="B301" s="138"/>
      <c r="C301" s="138"/>
      <c r="D301" s="138"/>
      <c r="E301" s="138"/>
      <c r="F301" s="138"/>
      <c r="G301" s="138"/>
      <c r="H301" s="138"/>
      <c r="I301" s="138"/>
      <c r="T301" s="31"/>
    </row>
    <row r="302">
      <c r="A302" s="138"/>
      <c r="B302" s="138"/>
      <c r="C302" s="138"/>
      <c r="D302" s="138"/>
      <c r="E302" s="138"/>
      <c r="F302" s="138"/>
      <c r="G302" s="138"/>
      <c r="H302" s="138"/>
      <c r="I302" s="138"/>
      <c r="T302" s="31"/>
    </row>
    <row r="303">
      <c r="A303" s="138"/>
      <c r="B303" s="138"/>
      <c r="C303" s="138"/>
      <c r="D303" s="138"/>
      <c r="E303" s="138"/>
      <c r="F303" s="138"/>
      <c r="G303" s="138"/>
      <c r="H303" s="138"/>
      <c r="I303" s="138"/>
      <c r="T303" s="31"/>
    </row>
    <row r="304">
      <c r="A304" s="138"/>
      <c r="B304" s="138"/>
      <c r="C304" s="138"/>
      <c r="D304" s="138"/>
      <c r="E304" s="138"/>
      <c r="F304" s="138"/>
      <c r="G304" s="138"/>
      <c r="H304" s="138"/>
      <c r="I304" s="138"/>
      <c r="T304" s="31"/>
    </row>
    <row r="305">
      <c r="A305" s="138"/>
      <c r="B305" s="138"/>
      <c r="C305" s="138"/>
      <c r="D305" s="138"/>
      <c r="E305" s="138"/>
      <c r="F305" s="138"/>
      <c r="G305" s="138"/>
      <c r="H305" s="138"/>
      <c r="I305" s="138"/>
      <c r="T305" s="31"/>
    </row>
    <row r="306">
      <c r="A306" s="138"/>
      <c r="B306" s="138"/>
      <c r="C306" s="138"/>
      <c r="D306" s="138"/>
      <c r="E306" s="138"/>
      <c r="F306" s="138"/>
      <c r="G306" s="138"/>
      <c r="H306" s="138"/>
      <c r="I306" s="138"/>
      <c r="T306" s="31"/>
    </row>
    <row r="307">
      <c r="A307" s="138"/>
      <c r="B307" s="138"/>
      <c r="C307" s="138"/>
      <c r="D307" s="138"/>
      <c r="E307" s="138"/>
      <c r="F307" s="138"/>
      <c r="G307" s="138"/>
      <c r="H307" s="138"/>
      <c r="I307" s="138"/>
      <c r="T307" s="31"/>
    </row>
    <row r="308">
      <c r="A308" s="138"/>
      <c r="B308" s="138"/>
      <c r="C308" s="138"/>
      <c r="D308" s="138"/>
      <c r="E308" s="138"/>
      <c r="F308" s="138"/>
      <c r="G308" s="138"/>
      <c r="H308" s="138"/>
      <c r="I308" s="138"/>
      <c r="T308" s="31"/>
    </row>
    <row r="309">
      <c r="A309" s="138"/>
      <c r="B309" s="138"/>
      <c r="C309" s="138"/>
      <c r="D309" s="138"/>
      <c r="E309" s="138"/>
      <c r="F309" s="138"/>
      <c r="G309" s="138"/>
      <c r="H309" s="138"/>
      <c r="I309" s="138"/>
      <c r="T309" s="31"/>
    </row>
    <row r="310">
      <c r="A310" s="138"/>
      <c r="B310" s="138"/>
      <c r="C310" s="138"/>
      <c r="D310" s="138"/>
      <c r="E310" s="138"/>
      <c r="F310" s="138"/>
      <c r="G310" s="138"/>
      <c r="H310" s="138"/>
      <c r="I310" s="138"/>
      <c r="T310" s="31"/>
    </row>
    <row r="311">
      <c r="A311" s="138"/>
      <c r="B311" s="138"/>
      <c r="C311" s="138"/>
      <c r="D311" s="138"/>
      <c r="E311" s="138"/>
      <c r="F311" s="138"/>
      <c r="G311" s="138"/>
      <c r="H311" s="138"/>
      <c r="I311" s="138"/>
      <c r="T311" s="31"/>
    </row>
    <row r="312">
      <c r="A312" s="138"/>
      <c r="B312" s="138"/>
      <c r="C312" s="138"/>
      <c r="D312" s="138"/>
      <c r="E312" s="138"/>
      <c r="F312" s="138"/>
      <c r="G312" s="138"/>
      <c r="H312" s="138"/>
      <c r="I312" s="138"/>
      <c r="T312" s="31"/>
    </row>
    <row r="313">
      <c r="A313" s="138"/>
      <c r="B313" s="138"/>
      <c r="C313" s="138"/>
      <c r="D313" s="138"/>
      <c r="E313" s="138"/>
      <c r="F313" s="138"/>
      <c r="G313" s="138"/>
      <c r="H313" s="138"/>
      <c r="I313" s="138"/>
      <c r="T313" s="31"/>
    </row>
    <row r="314">
      <c r="A314" s="138"/>
      <c r="B314" s="138"/>
      <c r="C314" s="138"/>
      <c r="D314" s="138"/>
      <c r="E314" s="138"/>
      <c r="F314" s="138"/>
      <c r="G314" s="138"/>
      <c r="H314" s="138"/>
      <c r="I314" s="138"/>
      <c r="T314" s="31"/>
    </row>
    <row r="315">
      <c r="A315" s="138"/>
      <c r="B315" s="138"/>
      <c r="C315" s="138"/>
      <c r="D315" s="138"/>
      <c r="E315" s="138"/>
      <c r="F315" s="138"/>
      <c r="G315" s="138"/>
      <c r="H315" s="138"/>
      <c r="I315" s="138"/>
      <c r="T315" s="31"/>
    </row>
    <row r="316">
      <c r="A316" s="138"/>
      <c r="B316" s="138"/>
      <c r="C316" s="138"/>
      <c r="D316" s="138"/>
      <c r="E316" s="138"/>
      <c r="F316" s="138"/>
      <c r="G316" s="138"/>
      <c r="H316" s="138"/>
      <c r="I316" s="138"/>
      <c r="T316" s="31"/>
    </row>
    <row r="317">
      <c r="A317" s="138"/>
      <c r="B317" s="138"/>
      <c r="C317" s="138"/>
      <c r="D317" s="138"/>
      <c r="E317" s="138"/>
      <c r="F317" s="138"/>
      <c r="G317" s="138"/>
      <c r="H317" s="138"/>
      <c r="I317" s="138"/>
      <c r="T317" s="31"/>
    </row>
    <row r="318">
      <c r="A318" s="138"/>
      <c r="B318" s="138"/>
      <c r="C318" s="138"/>
      <c r="D318" s="138"/>
      <c r="E318" s="138"/>
      <c r="F318" s="138"/>
      <c r="G318" s="138"/>
      <c r="H318" s="138"/>
      <c r="I318" s="138"/>
      <c r="T318" s="31"/>
    </row>
    <row r="319">
      <c r="A319" s="138"/>
      <c r="B319" s="138"/>
      <c r="C319" s="138"/>
      <c r="D319" s="138"/>
      <c r="E319" s="138"/>
      <c r="F319" s="138"/>
      <c r="G319" s="138"/>
      <c r="H319" s="138"/>
      <c r="I319" s="138"/>
      <c r="T319" s="31"/>
    </row>
    <row r="320">
      <c r="A320" s="138"/>
      <c r="B320" s="138"/>
      <c r="C320" s="138"/>
      <c r="D320" s="138"/>
      <c r="E320" s="138"/>
      <c r="F320" s="138"/>
      <c r="G320" s="138"/>
      <c r="H320" s="138"/>
      <c r="I320" s="138"/>
      <c r="T320" s="31"/>
    </row>
    <row r="321">
      <c r="A321" s="138"/>
      <c r="B321" s="138"/>
      <c r="C321" s="138"/>
      <c r="D321" s="138"/>
      <c r="E321" s="138"/>
      <c r="F321" s="138"/>
      <c r="G321" s="138"/>
      <c r="H321" s="138"/>
      <c r="I321" s="138"/>
      <c r="T321" s="31"/>
    </row>
    <row r="322">
      <c r="A322" s="138"/>
      <c r="B322" s="138"/>
      <c r="C322" s="138"/>
      <c r="D322" s="138"/>
      <c r="E322" s="138"/>
      <c r="F322" s="138"/>
      <c r="G322" s="138"/>
      <c r="H322" s="138"/>
      <c r="I322" s="138"/>
      <c r="T322" s="31"/>
    </row>
    <row r="323">
      <c r="A323" s="138"/>
      <c r="B323" s="138"/>
      <c r="C323" s="138"/>
      <c r="D323" s="138"/>
      <c r="E323" s="138"/>
      <c r="F323" s="138"/>
      <c r="G323" s="138"/>
      <c r="H323" s="138"/>
      <c r="I323" s="138"/>
      <c r="T323" s="31"/>
    </row>
    <row r="324">
      <c r="A324" s="138"/>
      <c r="B324" s="138"/>
      <c r="C324" s="138"/>
      <c r="D324" s="138"/>
      <c r="E324" s="138"/>
      <c r="F324" s="138"/>
      <c r="G324" s="138"/>
      <c r="H324" s="138"/>
      <c r="I324" s="138"/>
      <c r="T324" s="31"/>
    </row>
    <row r="325">
      <c r="A325" s="138"/>
      <c r="B325" s="138"/>
      <c r="C325" s="138"/>
      <c r="D325" s="138"/>
      <c r="E325" s="138"/>
      <c r="F325" s="138"/>
      <c r="G325" s="138"/>
      <c r="H325" s="138"/>
      <c r="I325" s="138"/>
      <c r="T325" s="31"/>
    </row>
    <row r="326">
      <c r="A326" s="138"/>
      <c r="B326" s="138"/>
      <c r="C326" s="138"/>
      <c r="D326" s="138"/>
      <c r="E326" s="138"/>
      <c r="F326" s="138"/>
      <c r="G326" s="138"/>
      <c r="H326" s="138"/>
      <c r="I326" s="138"/>
      <c r="T326" s="31"/>
    </row>
    <row r="327">
      <c r="A327" s="138"/>
      <c r="B327" s="138"/>
      <c r="C327" s="138"/>
      <c r="D327" s="138"/>
      <c r="E327" s="138"/>
      <c r="F327" s="138"/>
      <c r="G327" s="138"/>
      <c r="H327" s="138"/>
      <c r="I327" s="138"/>
      <c r="T327" s="31"/>
    </row>
    <row r="328">
      <c r="A328" s="138"/>
      <c r="B328" s="138"/>
      <c r="C328" s="138"/>
      <c r="D328" s="138"/>
      <c r="E328" s="138"/>
      <c r="F328" s="138"/>
      <c r="G328" s="138"/>
      <c r="H328" s="138"/>
      <c r="I328" s="138"/>
      <c r="T328" s="31"/>
    </row>
    <row r="329">
      <c r="A329" s="138"/>
      <c r="B329" s="138"/>
      <c r="C329" s="138"/>
      <c r="D329" s="138"/>
      <c r="E329" s="138"/>
      <c r="F329" s="138"/>
      <c r="G329" s="138"/>
      <c r="H329" s="138"/>
      <c r="I329" s="138"/>
      <c r="T329" s="31"/>
    </row>
    <row r="330">
      <c r="A330" s="138"/>
      <c r="B330" s="138"/>
      <c r="C330" s="138"/>
      <c r="D330" s="138"/>
      <c r="E330" s="138"/>
      <c r="F330" s="138"/>
      <c r="G330" s="138"/>
      <c r="H330" s="138"/>
      <c r="I330" s="138"/>
      <c r="T330" s="31"/>
    </row>
    <row r="331">
      <c r="A331" s="138"/>
      <c r="B331" s="138"/>
      <c r="C331" s="138"/>
      <c r="D331" s="138"/>
      <c r="E331" s="138"/>
      <c r="F331" s="138"/>
      <c r="G331" s="138"/>
      <c r="H331" s="138"/>
      <c r="I331" s="138"/>
      <c r="T331" s="31"/>
    </row>
    <row r="332">
      <c r="A332" s="138"/>
      <c r="B332" s="138"/>
      <c r="C332" s="138"/>
      <c r="D332" s="138"/>
      <c r="E332" s="138"/>
      <c r="F332" s="138"/>
      <c r="G332" s="138"/>
      <c r="H332" s="138"/>
      <c r="I332" s="138"/>
      <c r="T332" s="31"/>
    </row>
    <row r="333">
      <c r="A333" s="138"/>
      <c r="B333" s="138"/>
      <c r="C333" s="138"/>
      <c r="D333" s="138"/>
      <c r="E333" s="138"/>
      <c r="F333" s="138"/>
      <c r="G333" s="138"/>
      <c r="H333" s="138"/>
      <c r="I333" s="138"/>
      <c r="T333" s="31"/>
    </row>
    <row r="334">
      <c r="A334" s="138"/>
      <c r="B334" s="138"/>
      <c r="C334" s="138"/>
      <c r="D334" s="138"/>
      <c r="E334" s="138"/>
      <c r="F334" s="138"/>
      <c r="G334" s="138"/>
      <c r="H334" s="138"/>
      <c r="I334" s="138"/>
      <c r="T334" s="31"/>
    </row>
    <row r="335">
      <c r="A335" s="138"/>
      <c r="B335" s="138"/>
      <c r="C335" s="138"/>
      <c r="D335" s="138"/>
      <c r="E335" s="138"/>
      <c r="F335" s="138"/>
      <c r="G335" s="138"/>
      <c r="H335" s="138"/>
      <c r="I335" s="138"/>
      <c r="T335" s="31"/>
    </row>
    <row r="336">
      <c r="A336" s="138"/>
      <c r="B336" s="138"/>
      <c r="C336" s="138"/>
      <c r="D336" s="138"/>
      <c r="E336" s="138"/>
      <c r="F336" s="138"/>
      <c r="G336" s="138"/>
      <c r="H336" s="138"/>
      <c r="I336" s="138"/>
      <c r="T336" s="31"/>
    </row>
    <row r="337">
      <c r="A337" s="138"/>
      <c r="B337" s="138"/>
      <c r="C337" s="138"/>
      <c r="D337" s="138"/>
      <c r="E337" s="138"/>
      <c r="F337" s="138"/>
      <c r="G337" s="138"/>
      <c r="H337" s="138"/>
      <c r="I337" s="138"/>
      <c r="T337" s="31"/>
    </row>
    <row r="338">
      <c r="A338" s="138"/>
      <c r="B338" s="138"/>
      <c r="C338" s="138"/>
      <c r="D338" s="138"/>
      <c r="E338" s="138"/>
      <c r="F338" s="138"/>
      <c r="G338" s="138"/>
      <c r="H338" s="138"/>
      <c r="I338" s="138"/>
      <c r="T338" s="31"/>
    </row>
    <row r="339">
      <c r="A339" s="138"/>
      <c r="B339" s="138"/>
      <c r="C339" s="138"/>
      <c r="D339" s="138"/>
      <c r="E339" s="138"/>
      <c r="F339" s="138"/>
      <c r="G339" s="138"/>
      <c r="H339" s="138"/>
      <c r="I339" s="138"/>
      <c r="T339" s="31"/>
    </row>
    <row r="340">
      <c r="A340" s="138"/>
      <c r="B340" s="138"/>
      <c r="C340" s="138"/>
      <c r="D340" s="138"/>
      <c r="E340" s="138"/>
      <c r="F340" s="138"/>
      <c r="G340" s="138"/>
      <c r="H340" s="138"/>
      <c r="I340" s="138"/>
      <c r="T340" s="31"/>
    </row>
    <row r="341">
      <c r="A341" s="138"/>
      <c r="B341" s="138"/>
      <c r="C341" s="138"/>
      <c r="D341" s="138"/>
      <c r="E341" s="138"/>
      <c r="F341" s="138"/>
      <c r="G341" s="138"/>
      <c r="H341" s="138"/>
      <c r="I341" s="138"/>
      <c r="T341" s="31"/>
    </row>
    <row r="342">
      <c r="A342" s="138"/>
      <c r="B342" s="138"/>
      <c r="C342" s="138"/>
      <c r="D342" s="138"/>
      <c r="E342" s="138"/>
      <c r="F342" s="138"/>
      <c r="G342" s="138"/>
      <c r="H342" s="138"/>
      <c r="I342" s="138"/>
      <c r="T342" s="31"/>
    </row>
    <row r="343">
      <c r="A343" s="138"/>
      <c r="B343" s="138"/>
      <c r="C343" s="138"/>
      <c r="D343" s="138"/>
      <c r="E343" s="138"/>
      <c r="F343" s="138"/>
      <c r="G343" s="138"/>
      <c r="H343" s="138"/>
      <c r="I343" s="138"/>
      <c r="T343" s="31"/>
    </row>
    <row r="344">
      <c r="A344" s="138"/>
      <c r="B344" s="138"/>
      <c r="C344" s="138"/>
      <c r="D344" s="138"/>
      <c r="E344" s="138"/>
      <c r="F344" s="138"/>
      <c r="G344" s="138"/>
      <c r="H344" s="138"/>
      <c r="I344" s="138"/>
      <c r="T344" s="31"/>
    </row>
    <row r="345">
      <c r="A345" s="138"/>
      <c r="B345" s="138"/>
      <c r="C345" s="138"/>
      <c r="D345" s="138"/>
      <c r="E345" s="138"/>
      <c r="F345" s="138"/>
      <c r="G345" s="138"/>
      <c r="H345" s="138"/>
      <c r="I345" s="138"/>
      <c r="T345" s="31"/>
    </row>
    <row r="346">
      <c r="A346" s="138"/>
      <c r="B346" s="138"/>
      <c r="C346" s="138"/>
      <c r="D346" s="138"/>
      <c r="E346" s="138"/>
      <c r="F346" s="138"/>
      <c r="G346" s="138"/>
      <c r="H346" s="138"/>
      <c r="I346" s="138"/>
      <c r="T346" s="31"/>
    </row>
    <row r="347">
      <c r="A347" s="138"/>
      <c r="B347" s="138"/>
      <c r="C347" s="138"/>
      <c r="D347" s="138"/>
      <c r="E347" s="138"/>
      <c r="F347" s="138"/>
      <c r="G347" s="138"/>
      <c r="H347" s="138"/>
      <c r="I347" s="138"/>
      <c r="T347" s="31"/>
    </row>
    <row r="348">
      <c r="A348" s="138"/>
      <c r="B348" s="138"/>
      <c r="C348" s="138"/>
      <c r="D348" s="138"/>
      <c r="E348" s="138"/>
      <c r="F348" s="138"/>
      <c r="G348" s="138"/>
      <c r="H348" s="138"/>
      <c r="I348" s="138"/>
      <c r="T348" s="31"/>
    </row>
    <row r="349">
      <c r="A349" s="138"/>
      <c r="B349" s="138"/>
      <c r="C349" s="138"/>
      <c r="D349" s="138"/>
      <c r="E349" s="138"/>
      <c r="F349" s="138"/>
      <c r="G349" s="138"/>
      <c r="H349" s="138"/>
      <c r="I349" s="138"/>
      <c r="T349" s="31"/>
    </row>
    <row r="350">
      <c r="A350" s="138"/>
      <c r="B350" s="138"/>
      <c r="C350" s="138"/>
      <c r="D350" s="138"/>
      <c r="E350" s="138"/>
      <c r="F350" s="138"/>
      <c r="G350" s="138"/>
      <c r="H350" s="138"/>
      <c r="I350" s="138"/>
      <c r="T350" s="31"/>
    </row>
    <row r="351">
      <c r="A351" s="138"/>
      <c r="B351" s="138"/>
      <c r="C351" s="138"/>
      <c r="D351" s="138"/>
      <c r="E351" s="138"/>
      <c r="F351" s="138"/>
      <c r="G351" s="138"/>
      <c r="H351" s="138"/>
      <c r="I351" s="138"/>
      <c r="T351" s="31"/>
    </row>
    <row r="352">
      <c r="A352" s="138"/>
      <c r="B352" s="138"/>
      <c r="C352" s="138"/>
      <c r="D352" s="138"/>
      <c r="E352" s="138"/>
      <c r="F352" s="138"/>
      <c r="G352" s="138"/>
      <c r="H352" s="138"/>
      <c r="I352" s="138"/>
      <c r="T352" s="31"/>
    </row>
    <row r="353">
      <c r="A353" s="138"/>
      <c r="B353" s="138"/>
      <c r="C353" s="138"/>
      <c r="D353" s="138"/>
      <c r="E353" s="138"/>
      <c r="F353" s="138"/>
      <c r="G353" s="138"/>
      <c r="H353" s="138"/>
      <c r="I353" s="138"/>
      <c r="T353" s="31"/>
    </row>
    <row r="354">
      <c r="A354" s="138"/>
      <c r="B354" s="138"/>
      <c r="C354" s="138"/>
      <c r="D354" s="138"/>
      <c r="E354" s="138"/>
      <c r="F354" s="138"/>
      <c r="G354" s="138"/>
      <c r="H354" s="138"/>
      <c r="I354" s="138"/>
      <c r="T354" s="31"/>
    </row>
    <row r="355">
      <c r="A355" s="138"/>
      <c r="B355" s="138"/>
      <c r="C355" s="138"/>
      <c r="D355" s="138"/>
      <c r="E355" s="138"/>
      <c r="F355" s="138"/>
      <c r="G355" s="138"/>
      <c r="H355" s="138"/>
      <c r="I355" s="138"/>
      <c r="T355" s="31"/>
    </row>
    <row r="356">
      <c r="A356" s="138"/>
      <c r="B356" s="138"/>
      <c r="C356" s="138"/>
      <c r="D356" s="138"/>
      <c r="E356" s="138"/>
      <c r="F356" s="138"/>
      <c r="G356" s="138"/>
      <c r="H356" s="138"/>
      <c r="I356" s="138"/>
      <c r="T356" s="31"/>
    </row>
    <row r="357">
      <c r="A357" s="138"/>
      <c r="B357" s="138"/>
      <c r="C357" s="138"/>
      <c r="D357" s="138"/>
      <c r="E357" s="138"/>
      <c r="F357" s="138"/>
      <c r="G357" s="138"/>
      <c r="H357" s="138"/>
      <c r="I357" s="138"/>
      <c r="T357" s="31"/>
    </row>
    <row r="358">
      <c r="A358" s="138"/>
      <c r="B358" s="138"/>
      <c r="C358" s="138"/>
      <c r="D358" s="138"/>
      <c r="E358" s="138"/>
      <c r="F358" s="138"/>
      <c r="G358" s="138"/>
      <c r="H358" s="138"/>
      <c r="I358" s="138"/>
      <c r="T358" s="31"/>
    </row>
    <row r="359">
      <c r="A359" s="138"/>
      <c r="B359" s="138"/>
      <c r="C359" s="138"/>
      <c r="D359" s="138"/>
      <c r="E359" s="138"/>
      <c r="F359" s="138"/>
      <c r="G359" s="138"/>
      <c r="H359" s="138"/>
      <c r="I359" s="138"/>
      <c r="T359" s="31"/>
    </row>
    <row r="360">
      <c r="A360" s="138"/>
      <c r="B360" s="138"/>
      <c r="C360" s="138"/>
      <c r="D360" s="138"/>
      <c r="E360" s="138"/>
      <c r="F360" s="138"/>
      <c r="G360" s="138"/>
      <c r="H360" s="138"/>
      <c r="I360" s="138"/>
      <c r="T360" s="31"/>
    </row>
    <row r="361">
      <c r="A361" s="138"/>
      <c r="B361" s="138"/>
      <c r="C361" s="138"/>
      <c r="D361" s="138"/>
      <c r="E361" s="138"/>
      <c r="F361" s="138"/>
      <c r="G361" s="138"/>
      <c r="H361" s="138"/>
      <c r="I361" s="138"/>
      <c r="T361" s="31"/>
    </row>
    <row r="362">
      <c r="A362" s="138"/>
      <c r="B362" s="138"/>
      <c r="C362" s="138"/>
      <c r="D362" s="138"/>
      <c r="E362" s="138"/>
      <c r="F362" s="138"/>
      <c r="G362" s="138"/>
      <c r="H362" s="138"/>
      <c r="I362" s="138"/>
      <c r="T362" s="31"/>
    </row>
    <row r="363">
      <c r="A363" s="138"/>
      <c r="B363" s="138"/>
      <c r="C363" s="138"/>
      <c r="D363" s="138"/>
      <c r="E363" s="138"/>
      <c r="F363" s="138"/>
      <c r="G363" s="138"/>
      <c r="H363" s="138"/>
      <c r="I363" s="138"/>
      <c r="T363" s="31"/>
    </row>
    <row r="364">
      <c r="A364" s="138"/>
      <c r="B364" s="138"/>
      <c r="C364" s="138"/>
      <c r="D364" s="138"/>
      <c r="E364" s="138"/>
      <c r="F364" s="138"/>
      <c r="G364" s="138"/>
      <c r="H364" s="138"/>
      <c r="I364" s="138"/>
      <c r="T364" s="31"/>
    </row>
    <row r="365">
      <c r="A365" s="138"/>
      <c r="B365" s="138"/>
      <c r="C365" s="138"/>
      <c r="D365" s="138"/>
      <c r="E365" s="138"/>
      <c r="F365" s="138"/>
      <c r="G365" s="138"/>
      <c r="H365" s="138"/>
      <c r="I365" s="138"/>
      <c r="T365" s="31"/>
    </row>
    <row r="366">
      <c r="A366" s="138"/>
      <c r="B366" s="138"/>
      <c r="C366" s="138"/>
      <c r="D366" s="138"/>
      <c r="E366" s="138"/>
      <c r="F366" s="138"/>
      <c r="G366" s="138"/>
      <c r="H366" s="138"/>
      <c r="I366" s="138"/>
      <c r="T366" s="31"/>
    </row>
    <row r="367">
      <c r="A367" s="138"/>
      <c r="B367" s="138"/>
      <c r="C367" s="138"/>
      <c r="D367" s="138"/>
      <c r="E367" s="138"/>
      <c r="F367" s="138"/>
      <c r="G367" s="138"/>
      <c r="H367" s="138"/>
      <c r="I367" s="138"/>
      <c r="T367" s="31"/>
    </row>
    <row r="368">
      <c r="A368" s="138"/>
      <c r="B368" s="138"/>
      <c r="C368" s="138"/>
      <c r="D368" s="138"/>
      <c r="E368" s="138"/>
      <c r="F368" s="138"/>
      <c r="G368" s="138"/>
      <c r="H368" s="138"/>
      <c r="I368" s="138"/>
      <c r="T368" s="31"/>
    </row>
    <row r="369">
      <c r="A369" s="138"/>
      <c r="B369" s="138"/>
      <c r="C369" s="138"/>
      <c r="D369" s="138"/>
      <c r="E369" s="138"/>
      <c r="F369" s="138"/>
      <c r="G369" s="138"/>
      <c r="H369" s="138"/>
      <c r="I369" s="138"/>
      <c r="T369" s="31"/>
    </row>
    <row r="370">
      <c r="A370" s="138"/>
      <c r="B370" s="138"/>
      <c r="C370" s="138"/>
      <c r="D370" s="138"/>
      <c r="E370" s="138"/>
      <c r="F370" s="138"/>
      <c r="G370" s="138"/>
      <c r="H370" s="138"/>
      <c r="I370" s="138"/>
      <c r="T370" s="31"/>
    </row>
    <row r="371">
      <c r="A371" s="138"/>
      <c r="B371" s="138"/>
      <c r="C371" s="138"/>
      <c r="D371" s="138"/>
      <c r="E371" s="138"/>
      <c r="F371" s="138"/>
      <c r="G371" s="138"/>
      <c r="H371" s="138"/>
      <c r="I371" s="138"/>
      <c r="T371" s="31"/>
    </row>
    <row r="372">
      <c r="A372" s="138"/>
      <c r="B372" s="138"/>
      <c r="C372" s="138"/>
      <c r="D372" s="138"/>
      <c r="E372" s="138"/>
      <c r="F372" s="138"/>
      <c r="G372" s="138"/>
      <c r="H372" s="138"/>
      <c r="I372" s="138"/>
      <c r="T372" s="31"/>
    </row>
    <row r="373">
      <c r="A373" s="138"/>
      <c r="B373" s="138"/>
      <c r="C373" s="138"/>
      <c r="D373" s="138"/>
      <c r="E373" s="138"/>
      <c r="F373" s="138"/>
      <c r="G373" s="138"/>
      <c r="H373" s="138"/>
      <c r="I373" s="138"/>
      <c r="T373" s="31"/>
    </row>
    <row r="374">
      <c r="A374" s="138"/>
      <c r="B374" s="138"/>
      <c r="C374" s="138"/>
      <c r="D374" s="138"/>
      <c r="E374" s="138"/>
      <c r="F374" s="138"/>
      <c r="G374" s="138"/>
      <c r="H374" s="138"/>
      <c r="I374" s="138"/>
      <c r="T374" s="31"/>
    </row>
    <row r="375">
      <c r="A375" s="138"/>
      <c r="B375" s="138"/>
      <c r="C375" s="138"/>
      <c r="D375" s="138"/>
      <c r="E375" s="138"/>
      <c r="F375" s="138"/>
      <c r="G375" s="138"/>
      <c r="H375" s="138"/>
      <c r="I375" s="138"/>
      <c r="T375" s="31"/>
    </row>
    <row r="376">
      <c r="A376" s="138"/>
      <c r="B376" s="138"/>
      <c r="C376" s="138"/>
      <c r="D376" s="138"/>
      <c r="E376" s="138"/>
      <c r="F376" s="138"/>
      <c r="G376" s="138"/>
      <c r="H376" s="138"/>
      <c r="I376" s="138"/>
      <c r="T376" s="31"/>
    </row>
    <row r="377">
      <c r="A377" s="138"/>
      <c r="B377" s="138"/>
      <c r="C377" s="138"/>
      <c r="D377" s="138"/>
      <c r="E377" s="138"/>
      <c r="F377" s="138"/>
      <c r="G377" s="138"/>
      <c r="H377" s="138"/>
      <c r="I377" s="138"/>
      <c r="T377" s="31"/>
    </row>
    <row r="378">
      <c r="A378" s="138"/>
      <c r="B378" s="138"/>
      <c r="C378" s="138"/>
      <c r="D378" s="138"/>
      <c r="E378" s="138"/>
      <c r="F378" s="138"/>
      <c r="G378" s="138"/>
      <c r="H378" s="138"/>
      <c r="I378" s="138"/>
      <c r="T378" s="31"/>
    </row>
    <row r="379">
      <c r="A379" s="138"/>
      <c r="B379" s="138"/>
      <c r="C379" s="138"/>
      <c r="D379" s="138"/>
      <c r="E379" s="138"/>
      <c r="F379" s="138"/>
      <c r="G379" s="138"/>
      <c r="H379" s="138"/>
      <c r="I379" s="138"/>
      <c r="T379" s="31"/>
    </row>
    <row r="380">
      <c r="A380" s="138"/>
      <c r="B380" s="138"/>
      <c r="C380" s="138"/>
      <c r="D380" s="138"/>
      <c r="E380" s="138"/>
      <c r="F380" s="138"/>
      <c r="G380" s="138"/>
      <c r="H380" s="138"/>
      <c r="I380" s="138"/>
      <c r="T380" s="31"/>
    </row>
    <row r="381">
      <c r="A381" s="138"/>
      <c r="B381" s="138"/>
      <c r="C381" s="138"/>
      <c r="D381" s="138"/>
      <c r="E381" s="138"/>
      <c r="F381" s="138"/>
      <c r="G381" s="138"/>
      <c r="H381" s="138"/>
      <c r="I381" s="138"/>
      <c r="T381" s="31"/>
    </row>
    <row r="382">
      <c r="A382" s="138"/>
      <c r="B382" s="138"/>
      <c r="C382" s="138"/>
      <c r="D382" s="138"/>
      <c r="E382" s="138"/>
      <c r="F382" s="138"/>
      <c r="G382" s="138"/>
      <c r="H382" s="138"/>
      <c r="I382" s="138"/>
      <c r="T382" s="31"/>
    </row>
    <row r="383">
      <c r="A383" s="138"/>
      <c r="B383" s="138"/>
      <c r="C383" s="138"/>
      <c r="D383" s="138"/>
      <c r="E383" s="138"/>
      <c r="F383" s="138"/>
      <c r="G383" s="138"/>
      <c r="H383" s="138"/>
      <c r="I383" s="138"/>
      <c r="T383" s="31"/>
    </row>
    <row r="384">
      <c r="A384" s="138"/>
      <c r="B384" s="138"/>
      <c r="C384" s="138"/>
      <c r="D384" s="138"/>
      <c r="E384" s="138"/>
      <c r="F384" s="138"/>
      <c r="G384" s="138"/>
      <c r="H384" s="138"/>
      <c r="I384" s="138"/>
      <c r="T384" s="31"/>
    </row>
    <row r="385">
      <c r="A385" s="138"/>
      <c r="B385" s="138"/>
      <c r="C385" s="138"/>
      <c r="D385" s="138"/>
      <c r="E385" s="138"/>
      <c r="F385" s="138"/>
      <c r="G385" s="138"/>
      <c r="H385" s="138"/>
      <c r="I385" s="138"/>
      <c r="T385" s="31"/>
    </row>
    <row r="386">
      <c r="A386" s="138"/>
      <c r="B386" s="138"/>
      <c r="C386" s="138"/>
      <c r="D386" s="138"/>
      <c r="E386" s="138"/>
      <c r="F386" s="138"/>
      <c r="G386" s="138"/>
      <c r="H386" s="138"/>
      <c r="I386" s="138"/>
      <c r="T386" s="31"/>
    </row>
    <row r="387">
      <c r="A387" s="138"/>
      <c r="B387" s="138"/>
      <c r="C387" s="138"/>
      <c r="D387" s="138"/>
      <c r="E387" s="138"/>
      <c r="F387" s="138"/>
      <c r="G387" s="138"/>
      <c r="H387" s="138"/>
      <c r="I387" s="138"/>
      <c r="T387" s="31"/>
    </row>
    <row r="388">
      <c r="A388" s="138"/>
      <c r="B388" s="138"/>
      <c r="C388" s="138"/>
      <c r="D388" s="138"/>
      <c r="E388" s="138"/>
      <c r="F388" s="138"/>
      <c r="G388" s="138"/>
      <c r="H388" s="138"/>
      <c r="I388" s="138"/>
      <c r="T388" s="31"/>
    </row>
    <row r="389">
      <c r="A389" s="138"/>
      <c r="B389" s="138"/>
      <c r="C389" s="138"/>
      <c r="D389" s="138"/>
      <c r="E389" s="138"/>
      <c r="F389" s="138"/>
      <c r="G389" s="138"/>
      <c r="H389" s="138"/>
      <c r="I389" s="138"/>
      <c r="T389" s="31"/>
    </row>
    <row r="390">
      <c r="A390" s="138"/>
      <c r="B390" s="138"/>
      <c r="C390" s="138"/>
      <c r="D390" s="138"/>
      <c r="E390" s="138"/>
      <c r="F390" s="138"/>
      <c r="G390" s="138"/>
      <c r="H390" s="138"/>
      <c r="I390" s="138"/>
      <c r="T390" s="31"/>
    </row>
    <row r="391">
      <c r="A391" s="138"/>
      <c r="B391" s="138"/>
      <c r="C391" s="138"/>
      <c r="D391" s="138"/>
      <c r="E391" s="138"/>
      <c r="F391" s="138"/>
      <c r="G391" s="138"/>
      <c r="H391" s="138"/>
      <c r="I391" s="138"/>
      <c r="T391" s="31"/>
    </row>
    <row r="392">
      <c r="A392" s="138"/>
      <c r="B392" s="138"/>
      <c r="C392" s="138"/>
      <c r="D392" s="138"/>
      <c r="E392" s="138"/>
      <c r="F392" s="138"/>
      <c r="G392" s="138"/>
      <c r="H392" s="138"/>
      <c r="I392" s="138"/>
      <c r="T392" s="31"/>
    </row>
    <row r="393">
      <c r="A393" s="138"/>
      <c r="B393" s="138"/>
      <c r="C393" s="138"/>
      <c r="D393" s="138"/>
      <c r="E393" s="138"/>
      <c r="F393" s="138"/>
      <c r="G393" s="138"/>
      <c r="H393" s="138"/>
      <c r="I393" s="138"/>
      <c r="T393" s="31"/>
    </row>
    <row r="394">
      <c r="A394" s="138"/>
      <c r="B394" s="138"/>
      <c r="C394" s="138"/>
      <c r="D394" s="138"/>
      <c r="E394" s="138"/>
      <c r="F394" s="138"/>
      <c r="G394" s="138"/>
      <c r="H394" s="138"/>
      <c r="I394" s="138"/>
      <c r="T394" s="31"/>
    </row>
    <row r="395">
      <c r="A395" s="138"/>
      <c r="B395" s="138"/>
      <c r="C395" s="138"/>
      <c r="D395" s="138"/>
      <c r="E395" s="138"/>
      <c r="F395" s="138"/>
      <c r="G395" s="138"/>
      <c r="H395" s="138"/>
      <c r="I395" s="138"/>
      <c r="T395" s="31"/>
    </row>
    <row r="396">
      <c r="A396" s="138"/>
      <c r="B396" s="138"/>
      <c r="C396" s="138"/>
      <c r="D396" s="138"/>
      <c r="E396" s="138"/>
      <c r="F396" s="138"/>
      <c r="G396" s="138"/>
      <c r="H396" s="138"/>
      <c r="I396" s="138"/>
      <c r="T396" s="31"/>
    </row>
    <row r="397">
      <c r="A397" s="138"/>
      <c r="B397" s="138"/>
      <c r="C397" s="138"/>
      <c r="D397" s="138"/>
      <c r="E397" s="138"/>
      <c r="F397" s="138"/>
      <c r="G397" s="138"/>
      <c r="H397" s="138"/>
      <c r="I397" s="138"/>
      <c r="T397" s="31"/>
    </row>
    <row r="398">
      <c r="A398" s="138"/>
      <c r="B398" s="138"/>
      <c r="C398" s="138"/>
      <c r="D398" s="138"/>
      <c r="E398" s="138"/>
      <c r="F398" s="138"/>
      <c r="G398" s="138"/>
      <c r="H398" s="138"/>
      <c r="I398" s="138"/>
      <c r="T398" s="31"/>
    </row>
    <row r="399">
      <c r="A399" s="138"/>
      <c r="B399" s="138"/>
      <c r="C399" s="138"/>
      <c r="D399" s="138"/>
      <c r="E399" s="138"/>
      <c r="F399" s="138"/>
      <c r="G399" s="138"/>
      <c r="H399" s="138"/>
      <c r="I399" s="138"/>
      <c r="T399" s="31"/>
    </row>
    <row r="400">
      <c r="A400" s="138"/>
      <c r="B400" s="138"/>
      <c r="C400" s="138"/>
      <c r="D400" s="138"/>
      <c r="E400" s="138"/>
      <c r="F400" s="138"/>
      <c r="G400" s="138"/>
      <c r="H400" s="138"/>
      <c r="I400" s="138"/>
      <c r="T400" s="31"/>
    </row>
    <row r="401">
      <c r="A401" s="138"/>
      <c r="B401" s="138"/>
      <c r="C401" s="138"/>
      <c r="D401" s="138"/>
      <c r="E401" s="138"/>
      <c r="F401" s="138"/>
      <c r="G401" s="138"/>
      <c r="H401" s="138"/>
      <c r="I401" s="138"/>
      <c r="T401" s="31"/>
    </row>
    <row r="402">
      <c r="A402" s="138"/>
      <c r="B402" s="138"/>
      <c r="C402" s="138"/>
      <c r="D402" s="138"/>
      <c r="E402" s="138"/>
      <c r="F402" s="138"/>
      <c r="G402" s="138"/>
      <c r="H402" s="138"/>
      <c r="I402" s="138"/>
      <c r="T402" s="31"/>
    </row>
    <row r="403">
      <c r="A403" s="138"/>
      <c r="B403" s="138"/>
      <c r="C403" s="138"/>
      <c r="D403" s="138"/>
      <c r="E403" s="138"/>
      <c r="F403" s="138"/>
      <c r="G403" s="138"/>
      <c r="H403" s="138"/>
      <c r="I403" s="138"/>
      <c r="T403" s="31"/>
    </row>
    <row r="404">
      <c r="A404" s="138"/>
      <c r="B404" s="138"/>
      <c r="C404" s="138"/>
      <c r="D404" s="138"/>
      <c r="E404" s="138"/>
      <c r="F404" s="138"/>
      <c r="G404" s="138"/>
      <c r="H404" s="138"/>
      <c r="I404" s="138"/>
      <c r="T404" s="31"/>
    </row>
    <row r="405">
      <c r="A405" s="138"/>
      <c r="B405" s="138"/>
      <c r="C405" s="138"/>
      <c r="D405" s="138"/>
      <c r="E405" s="138"/>
      <c r="F405" s="138"/>
      <c r="G405" s="138"/>
      <c r="H405" s="138"/>
      <c r="I405" s="138"/>
      <c r="T405" s="31"/>
    </row>
    <row r="406">
      <c r="A406" s="138"/>
      <c r="B406" s="138"/>
      <c r="C406" s="138"/>
      <c r="D406" s="138"/>
      <c r="E406" s="138"/>
      <c r="F406" s="138"/>
      <c r="G406" s="138"/>
      <c r="H406" s="138"/>
      <c r="I406" s="138"/>
      <c r="T406" s="31"/>
    </row>
    <row r="407">
      <c r="A407" s="138"/>
      <c r="B407" s="138"/>
      <c r="C407" s="138"/>
      <c r="D407" s="138"/>
      <c r="E407" s="138"/>
      <c r="F407" s="138"/>
      <c r="G407" s="138"/>
      <c r="H407" s="138"/>
      <c r="I407" s="138"/>
      <c r="T407" s="31"/>
    </row>
    <row r="408">
      <c r="A408" s="138"/>
      <c r="B408" s="138"/>
      <c r="C408" s="138"/>
      <c r="D408" s="138"/>
      <c r="E408" s="138"/>
      <c r="F408" s="138"/>
      <c r="G408" s="138"/>
      <c r="H408" s="138"/>
      <c r="I408" s="138"/>
      <c r="T408" s="31"/>
    </row>
    <row r="409">
      <c r="A409" s="138"/>
      <c r="B409" s="138"/>
      <c r="C409" s="138"/>
      <c r="D409" s="138"/>
      <c r="E409" s="138"/>
      <c r="F409" s="138"/>
      <c r="G409" s="138"/>
      <c r="H409" s="138"/>
      <c r="I409" s="138"/>
      <c r="T409" s="31"/>
    </row>
    <row r="410">
      <c r="A410" s="138"/>
      <c r="B410" s="138"/>
      <c r="C410" s="138"/>
      <c r="D410" s="138"/>
      <c r="E410" s="138"/>
      <c r="F410" s="138"/>
      <c r="G410" s="138"/>
      <c r="H410" s="138"/>
      <c r="I410" s="138"/>
      <c r="T410" s="31"/>
    </row>
    <row r="411">
      <c r="A411" s="138"/>
      <c r="B411" s="138"/>
      <c r="C411" s="138"/>
      <c r="D411" s="138"/>
      <c r="E411" s="138"/>
      <c r="F411" s="138"/>
      <c r="G411" s="138"/>
      <c r="H411" s="138"/>
      <c r="I411" s="138"/>
      <c r="T411" s="31"/>
    </row>
    <row r="412">
      <c r="A412" s="138"/>
      <c r="B412" s="138"/>
      <c r="C412" s="138"/>
      <c r="D412" s="138"/>
      <c r="E412" s="138"/>
      <c r="F412" s="138"/>
      <c r="G412" s="138"/>
      <c r="H412" s="138"/>
      <c r="I412" s="138"/>
      <c r="T412" s="31"/>
    </row>
    <row r="413">
      <c r="A413" s="138"/>
      <c r="B413" s="138"/>
      <c r="C413" s="138"/>
      <c r="D413" s="138"/>
      <c r="E413" s="138"/>
      <c r="F413" s="138"/>
      <c r="G413" s="138"/>
      <c r="H413" s="138"/>
      <c r="I413" s="138"/>
      <c r="T413" s="31"/>
    </row>
    <row r="414">
      <c r="A414" s="138"/>
      <c r="B414" s="138"/>
      <c r="C414" s="138"/>
      <c r="D414" s="138"/>
      <c r="E414" s="138"/>
      <c r="F414" s="138"/>
      <c r="G414" s="138"/>
      <c r="H414" s="138"/>
      <c r="I414" s="138"/>
      <c r="T414" s="31"/>
    </row>
    <row r="415">
      <c r="A415" s="138"/>
      <c r="B415" s="138"/>
      <c r="C415" s="138"/>
      <c r="D415" s="138"/>
      <c r="E415" s="138"/>
      <c r="F415" s="138"/>
      <c r="G415" s="138"/>
      <c r="H415" s="138"/>
      <c r="I415" s="138"/>
      <c r="T415" s="31"/>
    </row>
    <row r="416">
      <c r="A416" s="138"/>
      <c r="B416" s="138"/>
      <c r="C416" s="138"/>
      <c r="D416" s="138"/>
      <c r="E416" s="138"/>
      <c r="F416" s="138"/>
      <c r="G416" s="138"/>
      <c r="H416" s="138"/>
      <c r="I416" s="138"/>
      <c r="T416" s="31"/>
    </row>
    <row r="417">
      <c r="A417" s="138"/>
      <c r="B417" s="138"/>
      <c r="C417" s="138"/>
      <c r="D417" s="138"/>
      <c r="E417" s="138"/>
      <c r="F417" s="138"/>
      <c r="G417" s="138"/>
      <c r="H417" s="138"/>
      <c r="I417" s="138"/>
      <c r="T417" s="31"/>
    </row>
    <row r="418">
      <c r="A418" s="138"/>
      <c r="B418" s="138"/>
      <c r="C418" s="138"/>
      <c r="D418" s="138"/>
      <c r="E418" s="138"/>
      <c r="F418" s="138"/>
      <c r="G418" s="138"/>
      <c r="H418" s="138"/>
      <c r="I418" s="138"/>
      <c r="T418" s="31"/>
    </row>
    <row r="419">
      <c r="A419" s="138"/>
      <c r="B419" s="138"/>
      <c r="C419" s="138"/>
      <c r="D419" s="138"/>
      <c r="E419" s="138"/>
      <c r="F419" s="138"/>
      <c r="G419" s="138"/>
      <c r="H419" s="138"/>
      <c r="I419" s="138"/>
      <c r="T419" s="31"/>
    </row>
    <row r="420">
      <c r="A420" s="138"/>
      <c r="B420" s="138"/>
      <c r="C420" s="138"/>
      <c r="D420" s="138"/>
      <c r="E420" s="138"/>
      <c r="F420" s="138"/>
      <c r="G420" s="138"/>
      <c r="H420" s="138"/>
      <c r="I420" s="138"/>
      <c r="T420" s="31"/>
    </row>
    <row r="421">
      <c r="A421" s="138"/>
      <c r="B421" s="138"/>
      <c r="C421" s="138"/>
      <c r="D421" s="138"/>
      <c r="E421" s="138"/>
      <c r="F421" s="138"/>
      <c r="G421" s="138"/>
      <c r="H421" s="138"/>
      <c r="I421" s="138"/>
      <c r="T421" s="31"/>
    </row>
    <row r="422">
      <c r="A422" s="138"/>
      <c r="B422" s="138"/>
      <c r="C422" s="138"/>
      <c r="D422" s="138"/>
      <c r="E422" s="138"/>
      <c r="F422" s="138"/>
      <c r="G422" s="138"/>
      <c r="H422" s="138"/>
      <c r="I422" s="138"/>
      <c r="T422" s="31"/>
    </row>
    <row r="423">
      <c r="A423" s="138"/>
      <c r="B423" s="138"/>
      <c r="C423" s="138"/>
      <c r="D423" s="138"/>
      <c r="E423" s="138"/>
      <c r="F423" s="138"/>
      <c r="G423" s="138"/>
      <c r="H423" s="138"/>
      <c r="I423" s="138"/>
      <c r="T423" s="31"/>
    </row>
    <row r="424">
      <c r="A424" s="138"/>
      <c r="B424" s="138"/>
      <c r="C424" s="138"/>
      <c r="D424" s="138"/>
      <c r="E424" s="138"/>
      <c r="F424" s="138"/>
      <c r="G424" s="138"/>
      <c r="H424" s="138"/>
      <c r="I424" s="138"/>
      <c r="T424" s="31"/>
    </row>
    <row r="425">
      <c r="A425" s="138"/>
      <c r="B425" s="138"/>
      <c r="C425" s="138"/>
      <c r="D425" s="138"/>
      <c r="E425" s="138"/>
      <c r="F425" s="138"/>
      <c r="G425" s="138"/>
      <c r="H425" s="138"/>
      <c r="I425" s="138"/>
      <c r="T425" s="31"/>
    </row>
    <row r="426">
      <c r="A426" s="138"/>
      <c r="B426" s="138"/>
      <c r="C426" s="138"/>
      <c r="D426" s="138"/>
      <c r="E426" s="138"/>
      <c r="F426" s="138"/>
      <c r="G426" s="138"/>
      <c r="H426" s="138"/>
      <c r="I426" s="138"/>
      <c r="T426" s="31"/>
    </row>
    <row r="427">
      <c r="A427" s="138"/>
      <c r="B427" s="138"/>
      <c r="C427" s="138"/>
      <c r="D427" s="138"/>
      <c r="E427" s="138"/>
      <c r="F427" s="138"/>
      <c r="G427" s="138"/>
      <c r="H427" s="138"/>
      <c r="I427" s="138"/>
      <c r="T427" s="31"/>
    </row>
    <row r="428">
      <c r="A428" s="138"/>
      <c r="B428" s="138"/>
      <c r="C428" s="138"/>
      <c r="D428" s="138"/>
      <c r="E428" s="138"/>
      <c r="F428" s="138"/>
      <c r="G428" s="138"/>
      <c r="H428" s="138"/>
      <c r="I428" s="138"/>
      <c r="T428" s="31"/>
    </row>
    <row r="429">
      <c r="A429" s="138"/>
      <c r="B429" s="138"/>
      <c r="C429" s="138"/>
      <c r="D429" s="138"/>
      <c r="E429" s="138"/>
      <c r="F429" s="138"/>
      <c r="G429" s="138"/>
      <c r="H429" s="138"/>
      <c r="I429" s="138"/>
      <c r="T429" s="31"/>
    </row>
    <row r="430">
      <c r="A430" s="138"/>
      <c r="B430" s="138"/>
      <c r="C430" s="138"/>
      <c r="D430" s="138"/>
      <c r="E430" s="138"/>
      <c r="F430" s="138"/>
      <c r="G430" s="138"/>
      <c r="H430" s="138"/>
      <c r="I430" s="138"/>
      <c r="T430" s="31"/>
    </row>
    <row r="431">
      <c r="A431" s="138"/>
      <c r="B431" s="138"/>
      <c r="C431" s="138"/>
      <c r="D431" s="138"/>
      <c r="E431" s="138"/>
      <c r="F431" s="138"/>
      <c r="G431" s="138"/>
      <c r="H431" s="138"/>
      <c r="I431" s="138"/>
      <c r="T431" s="31"/>
    </row>
    <row r="432">
      <c r="A432" s="138"/>
      <c r="B432" s="138"/>
      <c r="C432" s="138"/>
      <c r="D432" s="138"/>
      <c r="E432" s="138"/>
      <c r="F432" s="138"/>
      <c r="G432" s="138"/>
      <c r="H432" s="138"/>
      <c r="I432" s="138"/>
      <c r="T432" s="31"/>
    </row>
    <row r="433">
      <c r="A433" s="138"/>
      <c r="B433" s="138"/>
      <c r="C433" s="138"/>
      <c r="D433" s="138"/>
      <c r="E433" s="138"/>
      <c r="F433" s="138"/>
      <c r="G433" s="138"/>
      <c r="H433" s="138"/>
      <c r="I433" s="138"/>
      <c r="T433" s="31"/>
    </row>
    <row r="434">
      <c r="A434" s="138"/>
      <c r="B434" s="138"/>
      <c r="C434" s="138"/>
      <c r="D434" s="138"/>
      <c r="E434" s="138"/>
      <c r="F434" s="138"/>
      <c r="G434" s="138"/>
      <c r="H434" s="138"/>
      <c r="I434" s="138"/>
      <c r="T434" s="31"/>
    </row>
    <row r="435">
      <c r="A435" s="138"/>
      <c r="B435" s="138"/>
      <c r="C435" s="138"/>
      <c r="D435" s="138"/>
      <c r="E435" s="138"/>
      <c r="F435" s="138"/>
      <c r="G435" s="138"/>
      <c r="H435" s="138"/>
      <c r="I435" s="138"/>
      <c r="T435" s="31"/>
    </row>
    <row r="436">
      <c r="A436" s="138"/>
      <c r="B436" s="138"/>
      <c r="C436" s="138"/>
      <c r="D436" s="138"/>
      <c r="E436" s="138"/>
      <c r="F436" s="138"/>
      <c r="G436" s="138"/>
      <c r="H436" s="138"/>
      <c r="I436" s="138"/>
      <c r="T436" s="31"/>
    </row>
    <row r="437">
      <c r="A437" s="138"/>
      <c r="B437" s="138"/>
      <c r="C437" s="138"/>
      <c r="D437" s="138"/>
      <c r="E437" s="138"/>
      <c r="F437" s="138"/>
      <c r="G437" s="138"/>
      <c r="H437" s="138"/>
      <c r="I437" s="138"/>
      <c r="T437" s="31"/>
    </row>
    <row r="438">
      <c r="A438" s="138"/>
      <c r="B438" s="138"/>
      <c r="C438" s="138"/>
      <c r="D438" s="138"/>
      <c r="E438" s="138"/>
      <c r="F438" s="138"/>
      <c r="G438" s="138"/>
      <c r="H438" s="138"/>
      <c r="I438" s="138"/>
      <c r="T438" s="31"/>
    </row>
    <row r="439">
      <c r="A439" s="138"/>
      <c r="B439" s="138"/>
      <c r="C439" s="138"/>
      <c r="D439" s="138"/>
      <c r="E439" s="138"/>
      <c r="F439" s="138"/>
      <c r="G439" s="138"/>
      <c r="H439" s="138"/>
      <c r="I439" s="138"/>
      <c r="T439" s="31"/>
    </row>
    <row r="440">
      <c r="A440" s="138"/>
      <c r="B440" s="138"/>
      <c r="C440" s="138"/>
      <c r="D440" s="138"/>
      <c r="E440" s="138"/>
      <c r="F440" s="138"/>
      <c r="G440" s="138"/>
      <c r="H440" s="138"/>
      <c r="I440" s="138"/>
      <c r="T440" s="31"/>
    </row>
    <row r="441">
      <c r="A441" s="138"/>
      <c r="B441" s="138"/>
      <c r="C441" s="138"/>
      <c r="D441" s="138"/>
      <c r="E441" s="138"/>
      <c r="F441" s="138"/>
      <c r="G441" s="138"/>
      <c r="H441" s="138"/>
      <c r="I441" s="138"/>
      <c r="T441" s="31"/>
    </row>
    <row r="442">
      <c r="A442" s="138"/>
      <c r="B442" s="138"/>
      <c r="C442" s="138"/>
      <c r="D442" s="138"/>
      <c r="E442" s="138"/>
      <c r="F442" s="138"/>
      <c r="G442" s="138"/>
      <c r="H442" s="138"/>
      <c r="I442" s="138"/>
      <c r="T442" s="31"/>
    </row>
    <row r="443">
      <c r="A443" s="138"/>
      <c r="B443" s="138"/>
      <c r="C443" s="138"/>
      <c r="D443" s="138"/>
      <c r="E443" s="138"/>
      <c r="F443" s="138"/>
      <c r="G443" s="138"/>
      <c r="H443" s="138"/>
      <c r="I443" s="138"/>
      <c r="T443" s="31"/>
    </row>
    <row r="444">
      <c r="A444" s="138"/>
      <c r="B444" s="138"/>
      <c r="C444" s="138"/>
      <c r="D444" s="138"/>
      <c r="E444" s="138"/>
      <c r="F444" s="138"/>
      <c r="G444" s="138"/>
      <c r="H444" s="138"/>
      <c r="I444" s="138"/>
      <c r="T444" s="31"/>
    </row>
    <row r="445">
      <c r="A445" s="138"/>
      <c r="B445" s="138"/>
      <c r="C445" s="138"/>
      <c r="D445" s="138"/>
      <c r="E445" s="138"/>
      <c r="F445" s="138"/>
      <c r="G445" s="138"/>
      <c r="H445" s="138"/>
      <c r="I445" s="138"/>
      <c r="T445" s="31"/>
    </row>
    <row r="446">
      <c r="A446" s="138"/>
      <c r="B446" s="138"/>
      <c r="C446" s="138"/>
      <c r="D446" s="138"/>
      <c r="E446" s="138"/>
      <c r="F446" s="138"/>
      <c r="G446" s="138"/>
      <c r="H446" s="138"/>
      <c r="I446" s="138"/>
      <c r="T446" s="31"/>
    </row>
    <row r="447">
      <c r="A447" s="138"/>
      <c r="B447" s="138"/>
      <c r="C447" s="138"/>
      <c r="D447" s="138"/>
      <c r="E447" s="138"/>
      <c r="F447" s="138"/>
      <c r="G447" s="138"/>
      <c r="H447" s="138"/>
      <c r="I447" s="138"/>
      <c r="T447" s="31"/>
    </row>
    <row r="448">
      <c r="A448" s="138"/>
      <c r="B448" s="138"/>
      <c r="C448" s="138"/>
      <c r="D448" s="138"/>
      <c r="E448" s="138"/>
      <c r="F448" s="138"/>
      <c r="G448" s="138"/>
      <c r="H448" s="138"/>
      <c r="I448" s="138"/>
      <c r="T448" s="31"/>
    </row>
    <row r="449">
      <c r="A449" s="138"/>
      <c r="B449" s="138"/>
      <c r="C449" s="138"/>
      <c r="D449" s="138"/>
      <c r="E449" s="138"/>
      <c r="F449" s="138"/>
      <c r="G449" s="138"/>
      <c r="H449" s="138"/>
      <c r="I449" s="138"/>
      <c r="T449" s="31"/>
    </row>
    <row r="450">
      <c r="A450" s="138"/>
      <c r="B450" s="138"/>
      <c r="C450" s="138"/>
      <c r="D450" s="138"/>
      <c r="E450" s="138"/>
      <c r="F450" s="138"/>
      <c r="G450" s="138"/>
      <c r="H450" s="138"/>
      <c r="I450" s="138"/>
      <c r="T450" s="31"/>
    </row>
    <row r="451">
      <c r="A451" s="138"/>
      <c r="B451" s="138"/>
      <c r="C451" s="138"/>
      <c r="D451" s="138"/>
      <c r="E451" s="138"/>
      <c r="F451" s="138"/>
      <c r="G451" s="138"/>
      <c r="H451" s="138"/>
      <c r="I451" s="138"/>
      <c r="T451" s="31"/>
    </row>
    <row r="452">
      <c r="A452" s="138"/>
      <c r="B452" s="138"/>
      <c r="C452" s="138"/>
      <c r="D452" s="138"/>
      <c r="E452" s="138"/>
      <c r="F452" s="138"/>
      <c r="G452" s="138"/>
      <c r="H452" s="138"/>
      <c r="I452" s="138"/>
      <c r="T452" s="31"/>
    </row>
    <row r="453">
      <c r="A453" s="138"/>
      <c r="B453" s="138"/>
      <c r="C453" s="138"/>
      <c r="D453" s="138"/>
      <c r="E453" s="138"/>
      <c r="F453" s="138"/>
      <c r="G453" s="138"/>
      <c r="H453" s="138"/>
      <c r="I453" s="138"/>
      <c r="T453" s="31"/>
    </row>
    <row r="454">
      <c r="A454" s="138"/>
      <c r="B454" s="138"/>
      <c r="C454" s="138"/>
      <c r="D454" s="138"/>
      <c r="E454" s="138"/>
      <c r="F454" s="138"/>
      <c r="G454" s="138"/>
      <c r="H454" s="138"/>
      <c r="I454" s="138"/>
      <c r="T454" s="31"/>
    </row>
    <row r="455">
      <c r="A455" s="138"/>
      <c r="B455" s="138"/>
      <c r="C455" s="138"/>
      <c r="D455" s="138"/>
      <c r="E455" s="138"/>
      <c r="F455" s="138"/>
      <c r="G455" s="138"/>
      <c r="H455" s="138"/>
      <c r="I455" s="138"/>
      <c r="T455" s="31"/>
    </row>
    <row r="456">
      <c r="A456" s="138"/>
      <c r="B456" s="138"/>
      <c r="C456" s="138"/>
      <c r="D456" s="138"/>
      <c r="E456" s="138"/>
      <c r="F456" s="138"/>
      <c r="G456" s="138"/>
      <c r="H456" s="138"/>
      <c r="I456" s="138"/>
      <c r="T456" s="31"/>
    </row>
    <row r="457">
      <c r="A457" s="138"/>
      <c r="B457" s="138"/>
      <c r="C457" s="138"/>
      <c r="D457" s="138"/>
      <c r="E457" s="138"/>
      <c r="F457" s="138"/>
      <c r="G457" s="138"/>
      <c r="H457" s="138"/>
      <c r="I457" s="138"/>
      <c r="T457" s="31"/>
    </row>
    <row r="458">
      <c r="A458" s="138"/>
      <c r="B458" s="138"/>
      <c r="C458" s="138"/>
      <c r="D458" s="138"/>
      <c r="E458" s="138"/>
      <c r="F458" s="138"/>
      <c r="G458" s="138"/>
      <c r="H458" s="138"/>
      <c r="I458" s="138"/>
      <c r="T458" s="31"/>
    </row>
    <row r="459">
      <c r="A459" s="138"/>
      <c r="B459" s="138"/>
      <c r="C459" s="138"/>
      <c r="D459" s="138"/>
      <c r="E459" s="138"/>
      <c r="F459" s="138"/>
      <c r="G459" s="138"/>
      <c r="H459" s="138"/>
      <c r="I459" s="138"/>
      <c r="T459" s="31"/>
    </row>
    <row r="460">
      <c r="A460" s="138"/>
      <c r="B460" s="138"/>
      <c r="C460" s="138"/>
      <c r="D460" s="138"/>
      <c r="E460" s="138"/>
      <c r="F460" s="138"/>
      <c r="G460" s="138"/>
      <c r="H460" s="138"/>
      <c r="I460" s="138"/>
      <c r="T460" s="31"/>
    </row>
    <row r="461">
      <c r="A461" s="138"/>
      <c r="B461" s="138"/>
      <c r="C461" s="138"/>
      <c r="D461" s="138"/>
      <c r="E461" s="138"/>
      <c r="F461" s="138"/>
      <c r="G461" s="138"/>
      <c r="H461" s="138"/>
      <c r="I461" s="138"/>
      <c r="T461" s="31"/>
    </row>
    <row r="462">
      <c r="A462" s="138"/>
      <c r="B462" s="138"/>
      <c r="C462" s="138"/>
      <c r="D462" s="138"/>
      <c r="E462" s="138"/>
      <c r="F462" s="138"/>
      <c r="G462" s="138"/>
      <c r="H462" s="138"/>
      <c r="I462" s="138"/>
      <c r="T462" s="31"/>
    </row>
    <row r="463">
      <c r="A463" s="138"/>
      <c r="B463" s="138"/>
      <c r="C463" s="138"/>
      <c r="D463" s="138"/>
      <c r="E463" s="138"/>
      <c r="F463" s="138"/>
      <c r="G463" s="138"/>
      <c r="H463" s="138"/>
      <c r="I463" s="138"/>
      <c r="T463" s="31"/>
    </row>
    <row r="464">
      <c r="A464" s="138"/>
      <c r="B464" s="138"/>
      <c r="C464" s="138"/>
      <c r="D464" s="138"/>
      <c r="E464" s="138"/>
      <c r="F464" s="138"/>
      <c r="G464" s="138"/>
      <c r="H464" s="138"/>
      <c r="I464" s="138"/>
      <c r="T464" s="31"/>
    </row>
    <row r="465">
      <c r="A465" s="138"/>
      <c r="B465" s="138"/>
      <c r="C465" s="138"/>
      <c r="D465" s="138"/>
      <c r="E465" s="138"/>
      <c r="F465" s="138"/>
      <c r="G465" s="138"/>
      <c r="H465" s="138"/>
      <c r="I465" s="138"/>
      <c r="T465" s="31"/>
    </row>
    <row r="466">
      <c r="A466" s="138"/>
      <c r="B466" s="138"/>
      <c r="C466" s="138"/>
      <c r="D466" s="138"/>
      <c r="E466" s="138"/>
      <c r="F466" s="138"/>
      <c r="G466" s="138"/>
      <c r="H466" s="138"/>
      <c r="I466" s="138"/>
      <c r="T466" s="31"/>
    </row>
    <row r="467">
      <c r="A467" s="138"/>
      <c r="B467" s="138"/>
      <c r="C467" s="138"/>
      <c r="D467" s="138"/>
      <c r="E467" s="138"/>
      <c r="F467" s="138"/>
      <c r="G467" s="138"/>
      <c r="H467" s="138"/>
      <c r="I467" s="138"/>
      <c r="T467" s="31"/>
    </row>
    <row r="468">
      <c r="A468" s="138"/>
      <c r="B468" s="138"/>
      <c r="C468" s="138"/>
      <c r="D468" s="138"/>
      <c r="E468" s="138"/>
      <c r="F468" s="138"/>
      <c r="G468" s="138"/>
      <c r="H468" s="138"/>
      <c r="I468" s="138"/>
      <c r="T468" s="31"/>
    </row>
    <row r="469">
      <c r="A469" s="138"/>
      <c r="B469" s="138"/>
      <c r="C469" s="138"/>
      <c r="D469" s="138"/>
      <c r="E469" s="138"/>
      <c r="F469" s="138"/>
      <c r="G469" s="138"/>
      <c r="H469" s="138"/>
      <c r="I469" s="138"/>
      <c r="T469" s="31"/>
    </row>
    <row r="470">
      <c r="A470" s="138"/>
      <c r="B470" s="138"/>
      <c r="C470" s="138"/>
      <c r="D470" s="138"/>
      <c r="E470" s="138"/>
      <c r="F470" s="138"/>
      <c r="G470" s="138"/>
      <c r="H470" s="138"/>
      <c r="I470" s="138"/>
      <c r="T470" s="31"/>
    </row>
    <row r="471">
      <c r="A471" s="138"/>
      <c r="B471" s="138"/>
      <c r="C471" s="138"/>
      <c r="D471" s="138"/>
      <c r="E471" s="138"/>
      <c r="F471" s="138"/>
      <c r="G471" s="138"/>
      <c r="H471" s="138"/>
      <c r="I471" s="138"/>
      <c r="T471" s="31"/>
    </row>
    <row r="472">
      <c r="A472" s="138"/>
      <c r="B472" s="138"/>
      <c r="C472" s="138"/>
      <c r="D472" s="138"/>
      <c r="E472" s="138"/>
      <c r="F472" s="138"/>
      <c r="G472" s="138"/>
      <c r="H472" s="138"/>
      <c r="I472" s="138"/>
      <c r="T472" s="31"/>
    </row>
    <row r="473">
      <c r="A473" s="138"/>
      <c r="B473" s="138"/>
      <c r="C473" s="138"/>
      <c r="D473" s="138"/>
      <c r="E473" s="138"/>
      <c r="F473" s="138"/>
      <c r="G473" s="138"/>
      <c r="H473" s="138"/>
      <c r="I473" s="138"/>
      <c r="T473" s="31"/>
    </row>
    <row r="474">
      <c r="A474" s="138"/>
      <c r="B474" s="138"/>
      <c r="C474" s="138"/>
      <c r="D474" s="138"/>
      <c r="E474" s="138"/>
      <c r="F474" s="138"/>
      <c r="G474" s="138"/>
      <c r="H474" s="138"/>
      <c r="I474" s="138"/>
      <c r="T474" s="31"/>
    </row>
    <row r="475">
      <c r="A475" s="138"/>
      <c r="B475" s="138"/>
      <c r="C475" s="138"/>
      <c r="D475" s="138"/>
      <c r="E475" s="138"/>
      <c r="F475" s="138"/>
      <c r="G475" s="138"/>
      <c r="H475" s="138"/>
      <c r="I475" s="138"/>
      <c r="T475" s="31"/>
    </row>
    <row r="476">
      <c r="A476" s="138"/>
      <c r="B476" s="138"/>
      <c r="C476" s="138"/>
      <c r="D476" s="138"/>
      <c r="E476" s="138"/>
      <c r="F476" s="138"/>
      <c r="G476" s="138"/>
      <c r="H476" s="138"/>
      <c r="I476" s="138"/>
      <c r="T476" s="31"/>
    </row>
    <row r="477">
      <c r="A477" s="138"/>
      <c r="B477" s="138"/>
      <c r="C477" s="138"/>
      <c r="D477" s="138"/>
      <c r="E477" s="138"/>
      <c r="F477" s="138"/>
      <c r="G477" s="138"/>
      <c r="H477" s="138"/>
      <c r="I477" s="138"/>
      <c r="T477" s="31"/>
    </row>
    <row r="478">
      <c r="A478" s="138"/>
      <c r="B478" s="138"/>
      <c r="C478" s="138"/>
      <c r="D478" s="138"/>
      <c r="E478" s="138"/>
      <c r="F478" s="138"/>
      <c r="G478" s="138"/>
      <c r="H478" s="138"/>
      <c r="I478" s="138"/>
      <c r="T478" s="31"/>
    </row>
    <row r="479">
      <c r="A479" s="138"/>
      <c r="B479" s="138"/>
      <c r="C479" s="138"/>
      <c r="D479" s="138"/>
      <c r="E479" s="138"/>
      <c r="F479" s="138"/>
      <c r="G479" s="138"/>
      <c r="H479" s="138"/>
      <c r="I479" s="138"/>
      <c r="T479" s="31"/>
    </row>
    <row r="480">
      <c r="A480" s="138"/>
      <c r="B480" s="138"/>
      <c r="C480" s="138"/>
      <c r="D480" s="138"/>
      <c r="E480" s="138"/>
      <c r="F480" s="138"/>
      <c r="G480" s="138"/>
      <c r="H480" s="138"/>
      <c r="I480" s="138"/>
      <c r="T480" s="31"/>
    </row>
    <row r="481">
      <c r="A481" s="138"/>
      <c r="B481" s="138"/>
      <c r="C481" s="138"/>
      <c r="D481" s="138"/>
      <c r="E481" s="138"/>
      <c r="F481" s="138"/>
      <c r="G481" s="138"/>
      <c r="H481" s="138"/>
      <c r="I481" s="138"/>
      <c r="T481" s="31"/>
    </row>
    <row r="482">
      <c r="A482" s="138"/>
      <c r="B482" s="138"/>
      <c r="C482" s="138"/>
      <c r="D482" s="138"/>
      <c r="E482" s="138"/>
      <c r="F482" s="138"/>
      <c r="G482" s="138"/>
      <c r="H482" s="138"/>
      <c r="I482" s="138"/>
      <c r="T482" s="31"/>
    </row>
    <row r="483">
      <c r="A483" s="138"/>
      <c r="B483" s="138"/>
      <c r="C483" s="138"/>
      <c r="D483" s="138"/>
      <c r="E483" s="138"/>
      <c r="F483" s="138"/>
      <c r="G483" s="138"/>
      <c r="H483" s="138"/>
      <c r="I483" s="138"/>
      <c r="T483" s="31"/>
    </row>
    <row r="484">
      <c r="A484" s="138"/>
      <c r="B484" s="138"/>
      <c r="C484" s="138"/>
      <c r="D484" s="138"/>
      <c r="E484" s="138"/>
      <c r="F484" s="138"/>
      <c r="G484" s="138"/>
      <c r="H484" s="138"/>
      <c r="I484" s="138"/>
      <c r="T484" s="31"/>
    </row>
    <row r="485">
      <c r="A485" s="138"/>
      <c r="B485" s="138"/>
      <c r="C485" s="138"/>
      <c r="D485" s="138"/>
      <c r="E485" s="138"/>
      <c r="F485" s="138"/>
      <c r="G485" s="138"/>
      <c r="H485" s="138"/>
      <c r="I485" s="138"/>
      <c r="T485" s="31"/>
    </row>
    <row r="486">
      <c r="A486" s="138"/>
      <c r="B486" s="138"/>
      <c r="C486" s="138"/>
      <c r="D486" s="138"/>
      <c r="E486" s="138"/>
      <c r="F486" s="138"/>
      <c r="G486" s="138"/>
      <c r="H486" s="138"/>
      <c r="I486" s="138"/>
      <c r="T486" s="31"/>
    </row>
    <row r="487">
      <c r="A487" s="138"/>
      <c r="B487" s="138"/>
      <c r="C487" s="138"/>
      <c r="D487" s="138"/>
      <c r="E487" s="138"/>
      <c r="F487" s="138"/>
      <c r="G487" s="138"/>
      <c r="H487" s="138"/>
      <c r="I487" s="138"/>
      <c r="T487" s="31"/>
    </row>
    <row r="488">
      <c r="A488" s="138"/>
      <c r="B488" s="138"/>
      <c r="C488" s="138"/>
      <c r="D488" s="138"/>
      <c r="E488" s="138"/>
      <c r="F488" s="138"/>
      <c r="G488" s="138"/>
      <c r="H488" s="138"/>
      <c r="I488" s="138"/>
      <c r="T488" s="31"/>
    </row>
    <row r="489">
      <c r="A489" s="138"/>
      <c r="B489" s="138"/>
      <c r="C489" s="138"/>
      <c r="D489" s="138"/>
      <c r="E489" s="138"/>
      <c r="F489" s="138"/>
      <c r="G489" s="138"/>
      <c r="H489" s="138"/>
      <c r="I489" s="138"/>
      <c r="T489" s="31"/>
    </row>
    <row r="490">
      <c r="A490" s="138"/>
      <c r="B490" s="138"/>
      <c r="C490" s="138"/>
      <c r="D490" s="138"/>
      <c r="E490" s="138"/>
      <c r="F490" s="138"/>
      <c r="G490" s="138"/>
      <c r="H490" s="138"/>
      <c r="I490" s="138"/>
      <c r="T490" s="31"/>
    </row>
    <row r="491">
      <c r="A491" s="138"/>
      <c r="B491" s="138"/>
      <c r="C491" s="138"/>
      <c r="D491" s="138"/>
      <c r="E491" s="138"/>
      <c r="F491" s="138"/>
      <c r="G491" s="138"/>
      <c r="H491" s="138"/>
      <c r="I491" s="138"/>
      <c r="T491" s="31"/>
    </row>
    <row r="492">
      <c r="A492" s="138"/>
      <c r="B492" s="138"/>
      <c r="C492" s="138"/>
      <c r="D492" s="138"/>
      <c r="E492" s="138"/>
      <c r="F492" s="138"/>
      <c r="G492" s="138"/>
      <c r="H492" s="138"/>
      <c r="I492" s="138"/>
      <c r="T492" s="31"/>
    </row>
    <row r="493">
      <c r="A493" s="138"/>
      <c r="B493" s="138"/>
      <c r="C493" s="138"/>
      <c r="D493" s="138"/>
      <c r="E493" s="138"/>
      <c r="F493" s="138"/>
      <c r="G493" s="138"/>
      <c r="H493" s="138"/>
      <c r="I493" s="138"/>
      <c r="T493" s="31"/>
    </row>
    <row r="494">
      <c r="A494" s="138"/>
      <c r="B494" s="138"/>
      <c r="C494" s="138"/>
      <c r="D494" s="138"/>
      <c r="E494" s="138"/>
      <c r="F494" s="138"/>
      <c r="G494" s="138"/>
      <c r="H494" s="138"/>
      <c r="I494" s="138"/>
      <c r="T494" s="31"/>
    </row>
    <row r="495">
      <c r="A495" s="138"/>
      <c r="B495" s="138"/>
      <c r="C495" s="138"/>
      <c r="D495" s="138"/>
      <c r="E495" s="138"/>
      <c r="F495" s="138"/>
      <c r="G495" s="138"/>
      <c r="H495" s="138"/>
      <c r="I495" s="138"/>
      <c r="T495" s="31"/>
    </row>
    <row r="496">
      <c r="A496" s="138"/>
      <c r="B496" s="138"/>
      <c r="C496" s="138"/>
      <c r="D496" s="138"/>
      <c r="E496" s="138"/>
      <c r="F496" s="138"/>
      <c r="G496" s="138"/>
      <c r="H496" s="138"/>
      <c r="I496" s="138"/>
      <c r="T496" s="31"/>
    </row>
    <row r="497">
      <c r="A497" s="138"/>
      <c r="B497" s="138"/>
      <c r="C497" s="138"/>
      <c r="D497" s="138"/>
      <c r="E497" s="138"/>
      <c r="F497" s="138"/>
      <c r="G497" s="138"/>
      <c r="H497" s="138"/>
      <c r="I497" s="138"/>
      <c r="T497" s="31"/>
    </row>
    <row r="498">
      <c r="A498" s="138"/>
      <c r="B498" s="138"/>
      <c r="C498" s="138"/>
      <c r="D498" s="138"/>
      <c r="E498" s="138"/>
      <c r="F498" s="138"/>
      <c r="G498" s="138"/>
      <c r="H498" s="138"/>
      <c r="I498" s="138"/>
      <c r="T498" s="31"/>
    </row>
    <row r="499">
      <c r="A499" s="138"/>
      <c r="B499" s="138"/>
      <c r="C499" s="138"/>
      <c r="D499" s="138"/>
      <c r="E499" s="138"/>
      <c r="F499" s="138"/>
      <c r="G499" s="138"/>
      <c r="H499" s="138"/>
      <c r="I499" s="138"/>
      <c r="T499" s="31"/>
    </row>
    <row r="500">
      <c r="A500" s="138"/>
      <c r="B500" s="138"/>
      <c r="C500" s="138"/>
      <c r="D500" s="138"/>
      <c r="E500" s="138"/>
      <c r="F500" s="138"/>
      <c r="G500" s="138"/>
      <c r="H500" s="138"/>
      <c r="I500" s="138"/>
      <c r="T500" s="31"/>
    </row>
    <row r="501">
      <c r="A501" s="138"/>
      <c r="B501" s="138"/>
      <c r="C501" s="138"/>
      <c r="D501" s="138"/>
      <c r="E501" s="138"/>
      <c r="F501" s="138"/>
      <c r="G501" s="138"/>
      <c r="H501" s="138"/>
      <c r="I501" s="138"/>
      <c r="T501" s="31"/>
    </row>
    <row r="502">
      <c r="A502" s="138"/>
      <c r="B502" s="138"/>
      <c r="C502" s="138"/>
      <c r="D502" s="138"/>
      <c r="E502" s="138"/>
      <c r="F502" s="138"/>
      <c r="G502" s="138"/>
      <c r="H502" s="138"/>
      <c r="I502" s="138"/>
      <c r="T502" s="31"/>
    </row>
    <row r="503">
      <c r="A503" s="138"/>
      <c r="B503" s="138"/>
      <c r="C503" s="138"/>
      <c r="D503" s="138"/>
      <c r="E503" s="138"/>
      <c r="F503" s="138"/>
      <c r="G503" s="138"/>
      <c r="H503" s="138"/>
      <c r="I503" s="138"/>
      <c r="T503" s="31"/>
    </row>
    <row r="504">
      <c r="A504" s="138"/>
      <c r="B504" s="138"/>
      <c r="C504" s="138"/>
      <c r="D504" s="138"/>
      <c r="E504" s="138"/>
      <c r="F504" s="138"/>
      <c r="G504" s="138"/>
      <c r="H504" s="138"/>
      <c r="I504" s="138"/>
      <c r="T504" s="31"/>
    </row>
    <row r="505">
      <c r="A505" s="138"/>
      <c r="B505" s="138"/>
      <c r="C505" s="138"/>
      <c r="D505" s="138"/>
      <c r="E505" s="138"/>
      <c r="F505" s="138"/>
      <c r="G505" s="138"/>
      <c r="H505" s="138"/>
      <c r="I505" s="138"/>
      <c r="T505" s="31"/>
    </row>
    <row r="506">
      <c r="A506" s="138"/>
      <c r="B506" s="138"/>
      <c r="C506" s="138"/>
      <c r="D506" s="138"/>
      <c r="E506" s="138"/>
      <c r="F506" s="138"/>
      <c r="G506" s="138"/>
      <c r="H506" s="138"/>
      <c r="I506" s="138"/>
      <c r="T506" s="31"/>
    </row>
    <row r="507">
      <c r="A507" s="138"/>
      <c r="B507" s="138"/>
      <c r="C507" s="138"/>
      <c r="D507" s="138"/>
      <c r="E507" s="138"/>
      <c r="F507" s="138"/>
      <c r="G507" s="138"/>
      <c r="H507" s="138"/>
      <c r="I507" s="138"/>
      <c r="T507" s="31"/>
    </row>
    <row r="508">
      <c r="A508" s="138"/>
      <c r="B508" s="138"/>
      <c r="C508" s="138"/>
      <c r="D508" s="138"/>
      <c r="E508" s="138"/>
      <c r="F508" s="138"/>
      <c r="G508" s="138"/>
      <c r="H508" s="138"/>
      <c r="I508" s="138"/>
      <c r="T508" s="31"/>
    </row>
    <row r="509">
      <c r="A509" s="138"/>
      <c r="B509" s="138"/>
      <c r="C509" s="138"/>
      <c r="D509" s="138"/>
      <c r="E509" s="138"/>
      <c r="F509" s="138"/>
      <c r="G509" s="138"/>
      <c r="H509" s="138"/>
      <c r="I509" s="138"/>
      <c r="T509" s="31"/>
    </row>
    <row r="510">
      <c r="A510" s="138"/>
      <c r="B510" s="138"/>
      <c r="C510" s="138"/>
      <c r="D510" s="138"/>
      <c r="E510" s="138"/>
      <c r="F510" s="138"/>
      <c r="G510" s="138"/>
      <c r="H510" s="138"/>
      <c r="I510" s="138"/>
      <c r="T510" s="31"/>
    </row>
    <row r="511">
      <c r="A511" s="138"/>
      <c r="B511" s="138"/>
      <c r="C511" s="138"/>
      <c r="D511" s="138"/>
      <c r="E511" s="138"/>
      <c r="F511" s="138"/>
      <c r="G511" s="138"/>
      <c r="H511" s="138"/>
      <c r="I511" s="138"/>
      <c r="T511" s="31"/>
    </row>
    <row r="512">
      <c r="A512" s="138"/>
      <c r="B512" s="138"/>
      <c r="C512" s="138"/>
      <c r="D512" s="138"/>
      <c r="E512" s="138"/>
      <c r="F512" s="138"/>
      <c r="G512" s="138"/>
      <c r="H512" s="138"/>
      <c r="I512" s="138"/>
      <c r="T512" s="31"/>
    </row>
    <row r="513">
      <c r="A513" s="138"/>
      <c r="B513" s="138"/>
      <c r="C513" s="138"/>
      <c r="D513" s="138"/>
      <c r="E513" s="138"/>
      <c r="F513" s="138"/>
      <c r="G513" s="138"/>
      <c r="H513" s="138"/>
      <c r="I513" s="138"/>
      <c r="T513" s="31"/>
    </row>
    <row r="514">
      <c r="A514" s="138"/>
      <c r="B514" s="138"/>
      <c r="C514" s="138"/>
      <c r="D514" s="138"/>
      <c r="E514" s="138"/>
      <c r="F514" s="138"/>
      <c r="G514" s="138"/>
      <c r="H514" s="138"/>
      <c r="I514" s="138"/>
      <c r="T514" s="31"/>
    </row>
    <row r="515">
      <c r="A515" s="138"/>
      <c r="B515" s="138"/>
      <c r="C515" s="138"/>
      <c r="D515" s="138"/>
      <c r="E515" s="138"/>
      <c r="F515" s="138"/>
      <c r="G515" s="138"/>
      <c r="H515" s="138"/>
      <c r="I515" s="138"/>
      <c r="T515" s="31"/>
    </row>
    <row r="516">
      <c r="A516" s="138"/>
      <c r="B516" s="138"/>
      <c r="C516" s="138"/>
      <c r="D516" s="138"/>
      <c r="E516" s="138"/>
      <c r="F516" s="138"/>
      <c r="G516" s="138"/>
      <c r="H516" s="138"/>
      <c r="I516" s="138"/>
      <c r="T516" s="31"/>
    </row>
    <row r="517">
      <c r="A517" s="138"/>
      <c r="B517" s="138"/>
      <c r="C517" s="138"/>
      <c r="D517" s="138"/>
      <c r="E517" s="138"/>
      <c r="F517" s="138"/>
      <c r="G517" s="138"/>
      <c r="H517" s="138"/>
      <c r="I517" s="138"/>
      <c r="T517" s="31"/>
    </row>
    <row r="518">
      <c r="A518" s="138"/>
      <c r="B518" s="138"/>
      <c r="C518" s="138"/>
      <c r="D518" s="138"/>
      <c r="E518" s="138"/>
      <c r="F518" s="138"/>
      <c r="G518" s="138"/>
      <c r="H518" s="138"/>
      <c r="I518" s="138"/>
      <c r="T518" s="31"/>
    </row>
    <row r="519">
      <c r="A519" s="138"/>
      <c r="B519" s="138"/>
      <c r="C519" s="138"/>
      <c r="D519" s="138"/>
      <c r="E519" s="138"/>
      <c r="F519" s="138"/>
      <c r="G519" s="138"/>
      <c r="H519" s="138"/>
      <c r="I519" s="138"/>
      <c r="T519" s="31"/>
    </row>
    <row r="520">
      <c r="A520" s="138"/>
      <c r="B520" s="138"/>
      <c r="C520" s="138"/>
      <c r="D520" s="138"/>
      <c r="E520" s="138"/>
      <c r="F520" s="138"/>
      <c r="G520" s="138"/>
      <c r="H520" s="138"/>
      <c r="I520" s="138"/>
      <c r="T520" s="31"/>
    </row>
    <row r="521">
      <c r="A521" s="138"/>
      <c r="B521" s="138"/>
      <c r="C521" s="138"/>
      <c r="D521" s="138"/>
      <c r="E521" s="138"/>
      <c r="F521" s="138"/>
      <c r="G521" s="138"/>
      <c r="H521" s="138"/>
      <c r="I521" s="138"/>
      <c r="T521" s="31"/>
    </row>
    <row r="522">
      <c r="A522" s="138"/>
      <c r="B522" s="138"/>
      <c r="C522" s="138"/>
      <c r="D522" s="138"/>
      <c r="E522" s="138"/>
      <c r="F522" s="138"/>
      <c r="G522" s="138"/>
      <c r="H522" s="138"/>
      <c r="I522" s="138"/>
      <c r="T522" s="31"/>
    </row>
    <row r="523">
      <c r="A523" s="138"/>
      <c r="B523" s="138"/>
      <c r="C523" s="138"/>
      <c r="D523" s="138"/>
      <c r="E523" s="138"/>
      <c r="F523" s="138"/>
      <c r="G523" s="138"/>
      <c r="H523" s="138"/>
      <c r="I523" s="138"/>
      <c r="T523" s="31"/>
    </row>
    <row r="524">
      <c r="A524" s="138"/>
      <c r="B524" s="138"/>
      <c r="C524" s="138"/>
      <c r="D524" s="138"/>
      <c r="E524" s="138"/>
      <c r="F524" s="138"/>
      <c r="G524" s="138"/>
      <c r="H524" s="138"/>
      <c r="I524" s="138"/>
      <c r="T524" s="31"/>
    </row>
    <row r="525">
      <c r="A525" s="138"/>
      <c r="B525" s="138"/>
      <c r="C525" s="138"/>
      <c r="D525" s="138"/>
      <c r="E525" s="138"/>
      <c r="F525" s="138"/>
      <c r="G525" s="138"/>
      <c r="H525" s="138"/>
      <c r="I525" s="138"/>
      <c r="T525" s="31"/>
    </row>
    <row r="526">
      <c r="A526" s="138"/>
      <c r="B526" s="138"/>
      <c r="C526" s="138"/>
      <c r="D526" s="138"/>
      <c r="E526" s="138"/>
      <c r="F526" s="138"/>
      <c r="G526" s="138"/>
      <c r="H526" s="138"/>
      <c r="I526" s="138"/>
      <c r="T526" s="31"/>
    </row>
    <row r="527">
      <c r="A527" s="138"/>
      <c r="B527" s="138"/>
      <c r="C527" s="138"/>
      <c r="D527" s="138"/>
      <c r="E527" s="138"/>
      <c r="F527" s="138"/>
      <c r="G527" s="138"/>
      <c r="H527" s="138"/>
      <c r="I527" s="138"/>
      <c r="T527" s="31"/>
    </row>
    <row r="528">
      <c r="A528" s="138"/>
      <c r="B528" s="138"/>
      <c r="C528" s="138"/>
      <c r="D528" s="138"/>
      <c r="E528" s="138"/>
      <c r="F528" s="138"/>
      <c r="G528" s="138"/>
      <c r="H528" s="138"/>
      <c r="I528" s="138"/>
      <c r="T528" s="31"/>
    </row>
    <row r="529">
      <c r="A529" s="138"/>
      <c r="B529" s="138"/>
      <c r="C529" s="138"/>
      <c r="D529" s="138"/>
      <c r="E529" s="138"/>
      <c r="F529" s="138"/>
      <c r="G529" s="138"/>
      <c r="H529" s="138"/>
      <c r="I529" s="138"/>
      <c r="T529" s="31"/>
    </row>
    <row r="530">
      <c r="A530" s="138"/>
      <c r="B530" s="138"/>
      <c r="C530" s="138"/>
      <c r="D530" s="138"/>
      <c r="E530" s="138"/>
      <c r="F530" s="138"/>
      <c r="G530" s="138"/>
      <c r="H530" s="138"/>
      <c r="I530" s="138"/>
      <c r="T530" s="31"/>
    </row>
    <row r="531">
      <c r="A531" s="138"/>
      <c r="B531" s="138"/>
      <c r="C531" s="138"/>
      <c r="D531" s="138"/>
      <c r="E531" s="138"/>
      <c r="F531" s="138"/>
      <c r="G531" s="138"/>
      <c r="H531" s="138"/>
      <c r="I531" s="138"/>
      <c r="T531" s="31"/>
    </row>
    <row r="532">
      <c r="A532" s="138"/>
      <c r="B532" s="138"/>
      <c r="C532" s="138"/>
      <c r="D532" s="138"/>
      <c r="E532" s="138"/>
      <c r="F532" s="138"/>
      <c r="G532" s="138"/>
      <c r="H532" s="138"/>
      <c r="I532" s="138"/>
      <c r="T532" s="31"/>
    </row>
    <row r="533">
      <c r="A533" s="138"/>
      <c r="B533" s="138"/>
      <c r="C533" s="138"/>
      <c r="D533" s="138"/>
      <c r="E533" s="138"/>
      <c r="F533" s="138"/>
      <c r="G533" s="138"/>
      <c r="H533" s="138"/>
      <c r="I533" s="138"/>
      <c r="T533" s="31"/>
    </row>
    <row r="534">
      <c r="A534" s="138"/>
      <c r="B534" s="138"/>
      <c r="C534" s="138"/>
      <c r="D534" s="138"/>
      <c r="E534" s="138"/>
      <c r="F534" s="138"/>
      <c r="G534" s="138"/>
      <c r="H534" s="138"/>
      <c r="I534" s="138"/>
      <c r="T534" s="31"/>
    </row>
    <row r="535">
      <c r="A535" s="138"/>
      <c r="B535" s="138"/>
      <c r="C535" s="138"/>
      <c r="D535" s="138"/>
      <c r="E535" s="138"/>
      <c r="F535" s="138"/>
      <c r="G535" s="138"/>
      <c r="H535" s="138"/>
      <c r="I535" s="138"/>
      <c r="T535" s="31"/>
    </row>
    <row r="536">
      <c r="A536" s="138"/>
      <c r="B536" s="138"/>
      <c r="C536" s="138"/>
      <c r="D536" s="138"/>
      <c r="E536" s="138"/>
      <c r="F536" s="138"/>
      <c r="G536" s="138"/>
      <c r="H536" s="138"/>
      <c r="I536" s="138"/>
      <c r="T536" s="31"/>
    </row>
    <row r="537">
      <c r="A537" s="138"/>
      <c r="B537" s="138"/>
      <c r="C537" s="138"/>
      <c r="D537" s="138"/>
      <c r="E537" s="138"/>
      <c r="F537" s="138"/>
      <c r="G537" s="138"/>
      <c r="H537" s="138"/>
      <c r="I537" s="138"/>
      <c r="T537" s="31"/>
    </row>
    <row r="538">
      <c r="A538" s="138"/>
      <c r="B538" s="138"/>
      <c r="C538" s="138"/>
      <c r="D538" s="138"/>
      <c r="E538" s="138"/>
      <c r="F538" s="138"/>
      <c r="G538" s="138"/>
      <c r="H538" s="138"/>
      <c r="I538" s="138"/>
      <c r="T538" s="31"/>
    </row>
    <row r="539">
      <c r="A539" s="138"/>
      <c r="B539" s="138"/>
      <c r="C539" s="138"/>
      <c r="D539" s="138"/>
      <c r="E539" s="138"/>
      <c r="F539" s="138"/>
      <c r="G539" s="138"/>
      <c r="H539" s="138"/>
      <c r="I539" s="138"/>
      <c r="T539" s="31"/>
    </row>
    <row r="540">
      <c r="A540" s="138"/>
      <c r="B540" s="138"/>
      <c r="C540" s="138"/>
      <c r="D540" s="138"/>
      <c r="E540" s="138"/>
      <c r="F540" s="138"/>
      <c r="G540" s="138"/>
      <c r="H540" s="138"/>
      <c r="I540" s="138"/>
      <c r="T540" s="31"/>
    </row>
    <row r="541">
      <c r="A541" s="138"/>
      <c r="B541" s="138"/>
      <c r="C541" s="138"/>
      <c r="D541" s="138"/>
      <c r="E541" s="138"/>
      <c r="F541" s="138"/>
      <c r="G541" s="138"/>
      <c r="H541" s="138"/>
      <c r="I541" s="138"/>
      <c r="T541" s="31"/>
    </row>
    <row r="542">
      <c r="A542" s="138"/>
      <c r="B542" s="138"/>
      <c r="C542" s="138"/>
      <c r="D542" s="138"/>
      <c r="E542" s="138"/>
      <c r="F542" s="138"/>
      <c r="G542" s="138"/>
      <c r="H542" s="138"/>
      <c r="I542" s="138"/>
      <c r="T542" s="31"/>
    </row>
    <row r="543">
      <c r="A543" s="138"/>
      <c r="B543" s="138"/>
      <c r="C543" s="138"/>
      <c r="D543" s="138"/>
      <c r="E543" s="138"/>
      <c r="F543" s="138"/>
      <c r="G543" s="138"/>
      <c r="H543" s="138"/>
      <c r="I543" s="138"/>
      <c r="T543" s="31"/>
    </row>
    <row r="544">
      <c r="A544" s="138"/>
      <c r="B544" s="138"/>
      <c r="C544" s="138"/>
      <c r="D544" s="138"/>
      <c r="E544" s="138"/>
      <c r="F544" s="138"/>
      <c r="G544" s="138"/>
      <c r="H544" s="138"/>
      <c r="I544" s="138"/>
      <c r="T544" s="31"/>
    </row>
    <row r="545">
      <c r="A545" s="138"/>
      <c r="B545" s="138"/>
      <c r="C545" s="138"/>
      <c r="D545" s="138"/>
      <c r="E545" s="138"/>
      <c r="F545" s="138"/>
      <c r="G545" s="138"/>
      <c r="H545" s="138"/>
      <c r="I545" s="138"/>
      <c r="T545" s="31"/>
    </row>
    <row r="546">
      <c r="A546" s="138"/>
      <c r="B546" s="138"/>
      <c r="C546" s="138"/>
      <c r="D546" s="138"/>
      <c r="E546" s="138"/>
      <c r="F546" s="138"/>
      <c r="G546" s="138"/>
      <c r="H546" s="138"/>
      <c r="I546" s="138"/>
      <c r="T546" s="31"/>
    </row>
    <row r="547">
      <c r="A547" s="138"/>
      <c r="B547" s="138"/>
      <c r="C547" s="138"/>
      <c r="D547" s="138"/>
      <c r="E547" s="138"/>
      <c r="F547" s="138"/>
      <c r="G547" s="138"/>
      <c r="H547" s="138"/>
      <c r="I547" s="138"/>
      <c r="T547" s="31"/>
    </row>
    <row r="548">
      <c r="A548" s="138"/>
      <c r="B548" s="138"/>
      <c r="C548" s="138"/>
      <c r="D548" s="138"/>
      <c r="E548" s="138"/>
      <c r="F548" s="138"/>
      <c r="G548" s="138"/>
      <c r="H548" s="138"/>
      <c r="I548" s="138"/>
      <c r="T548" s="31"/>
    </row>
    <row r="549">
      <c r="A549" s="138"/>
      <c r="B549" s="138"/>
      <c r="C549" s="138"/>
      <c r="D549" s="138"/>
      <c r="E549" s="138"/>
      <c r="F549" s="138"/>
      <c r="G549" s="138"/>
      <c r="H549" s="138"/>
      <c r="I549" s="138"/>
      <c r="T549" s="31"/>
    </row>
    <row r="550">
      <c r="A550" s="138"/>
      <c r="B550" s="138"/>
      <c r="C550" s="138"/>
      <c r="D550" s="138"/>
      <c r="E550" s="138"/>
      <c r="F550" s="138"/>
      <c r="G550" s="138"/>
      <c r="H550" s="138"/>
      <c r="I550" s="138"/>
      <c r="T550" s="31"/>
    </row>
    <row r="551">
      <c r="A551" s="138"/>
      <c r="B551" s="138"/>
      <c r="C551" s="138"/>
      <c r="D551" s="138"/>
      <c r="E551" s="138"/>
      <c r="F551" s="138"/>
      <c r="G551" s="138"/>
      <c r="H551" s="138"/>
      <c r="I551" s="138"/>
      <c r="T551" s="31"/>
    </row>
    <row r="552">
      <c r="A552" s="138"/>
      <c r="B552" s="138"/>
      <c r="C552" s="138"/>
      <c r="D552" s="138"/>
      <c r="E552" s="138"/>
      <c r="F552" s="138"/>
      <c r="G552" s="138"/>
      <c r="H552" s="138"/>
      <c r="I552" s="138"/>
      <c r="T552" s="31"/>
    </row>
    <row r="553">
      <c r="A553" s="138"/>
      <c r="B553" s="138"/>
      <c r="C553" s="138"/>
      <c r="D553" s="138"/>
      <c r="E553" s="138"/>
      <c r="F553" s="138"/>
      <c r="G553" s="138"/>
      <c r="H553" s="138"/>
      <c r="I553" s="138"/>
      <c r="T553" s="31"/>
    </row>
    <row r="554">
      <c r="A554" s="138"/>
      <c r="B554" s="138"/>
      <c r="C554" s="138"/>
      <c r="D554" s="138"/>
      <c r="E554" s="138"/>
      <c r="F554" s="138"/>
      <c r="G554" s="138"/>
      <c r="H554" s="138"/>
      <c r="I554" s="138"/>
      <c r="T554" s="31"/>
    </row>
    <row r="555">
      <c r="A555" s="138"/>
      <c r="B555" s="138"/>
      <c r="C555" s="138"/>
      <c r="D555" s="138"/>
      <c r="E555" s="138"/>
      <c r="F555" s="138"/>
      <c r="G555" s="138"/>
      <c r="H555" s="138"/>
      <c r="I555" s="138"/>
      <c r="T555" s="31"/>
    </row>
    <row r="556">
      <c r="A556" s="138"/>
      <c r="B556" s="138"/>
      <c r="C556" s="138"/>
      <c r="D556" s="138"/>
      <c r="E556" s="138"/>
      <c r="F556" s="138"/>
      <c r="G556" s="138"/>
      <c r="H556" s="138"/>
      <c r="I556" s="138"/>
      <c r="T556" s="31"/>
    </row>
    <row r="557">
      <c r="A557" s="138"/>
      <c r="B557" s="138"/>
      <c r="C557" s="138"/>
      <c r="D557" s="138"/>
      <c r="E557" s="138"/>
      <c r="F557" s="138"/>
      <c r="G557" s="138"/>
      <c r="H557" s="138"/>
      <c r="I557" s="138"/>
      <c r="T557" s="31"/>
    </row>
    <row r="558">
      <c r="A558" s="138"/>
      <c r="B558" s="138"/>
      <c r="C558" s="138"/>
      <c r="D558" s="138"/>
      <c r="E558" s="138"/>
      <c r="F558" s="138"/>
      <c r="G558" s="138"/>
      <c r="H558" s="138"/>
      <c r="I558" s="138"/>
      <c r="T558" s="31"/>
    </row>
    <row r="559">
      <c r="A559" s="138"/>
      <c r="B559" s="138"/>
      <c r="C559" s="138"/>
      <c r="D559" s="138"/>
      <c r="E559" s="138"/>
      <c r="F559" s="138"/>
      <c r="G559" s="138"/>
      <c r="H559" s="138"/>
      <c r="I559" s="138"/>
      <c r="T559" s="31"/>
    </row>
    <row r="560">
      <c r="A560" s="138"/>
      <c r="B560" s="138"/>
      <c r="C560" s="138"/>
      <c r="D560" s="138"/>
      <c r="E560" s="138"/>
      <c r="F560" s="138"/>
      <c r="G560" s="138"/>
      <c r="H560" s="138"/>
      <c r="I560" s="138"/>
      <c r="T560" s="31"/>
    </row>
    <row r="561">
      <c r="A561" s="138"/>
      <c r="B561" s="138"/>
      <c r="C561" s="138"/>
      <c r="D561" s="138"/>
      <c r="E561" s="138"/>
      <c r="F561" s="138"/>
      <c r="G561" s="138"/>
      <c r="H561" s="138"/>
      <c r="I561" s="138"/>
      <c r="T561" s="31"/>
    </row>
    <row r="562">
      <c r="A562" s="138"/>
      <c r="B562" s="138"/>
      <c r="C562" s="138"/>
      <c r="D562" s="138"/>
      <c r="E562" s="138"/>
      <c r="F562" s="138"/>
      <c r="G562" s="138"/>
      <c r="H562" s="138"/>
      <c r="I562" s="138"/>
      <c r="T562" s="31"/>
    </row>
    <row r="563">
      <c r="A563" s="138"/>
      <c r="B563" s="138"/>
      <c r="C563" s="138"/>
      <c r="D563" s="138"/>
      <c r="E563" s="138"/>
      <c r="F563" s="138"/>
      <c r="G563" s="138"/>
      <c r="H563" s="138"/>
      <c r="I563" s="138"/>
      <c r="T563" s="31"/>
    </row>
    <row r="564">
      <c r="A564" s="138"/>
      <c r="B564" s="138"/>
      <c r="C564" s="138"/>
      <c r="D564" s="138"/>
      <c r="E564" s="138"/>
      <c r="F564" s="138"/>
      <c r="G564" s="138"/>
      <c r="H564" s="138"/>
      <c r="I564" s="138"/>
      <c r="T564" s="31"/>
    </row>
    <row r="565">
      <c r="A565" s="138"/>
      <c r="B565" s="138"/>
      <c r="C565" s="138"/>
      <c r="D565" s="138"/>
      <c r="E565" s="138"/>
      <c r="F565" s="138"/>
      <c r="G565" s="138"/>
      <c r="H565" s="138"/>
      <c r="I565" s="138"/>
      <c r="T565" s="31"/>
    </row>
    <row r="566">
      <c r="A566" s="138"/>
      <c r="B566" s="138"/>
      <c r="C566" s="138"/>
      <c r="D566" s="138"/>
      <c r="E566" s="138"/>
      <c r="F566" s="138"/>
      <c r="G566" s="138"/>
      <c r="H566" s="138"/>
      <c r="I566" s="138"/>
      <c r="T566" s="31"/>
    </row>
    <row r="567">
      <c r="A567" s="138"/>
      <c r="B567" s="138"/>
      <c r="C567" s="138"/>
      <c r="D567" s="138"/>
      <c r="E567" s="138"/>
      <c r="F567" s="138"/>
      <c r="G567" s="138"/>
      <c r="H567" s="138"/>
      <c r="I567" s="138"/>
      <c r="T567" s="31"/>
    </row>
    <row r="568">
      <c r="A568" s="138"/>
      <c r="B568" s="138"/>
      <c r="C568" s="138"/>
      <c r="D568" s="138"/>
      <c r="E568" s="138"/>
      <c r="F568" s="138"/>
      <c r="G568" s="138"/>
      <c r="H568" s="138"/>
      <c r="I568" s="138"/>
      <c r="T568" s="31"/>
    </row>
    <row r="569">
      <c r="A569" s="138"/>
      <c r="B569" s="138"/>
      <c r="C569" s="138"/>
      <c r="D569" s="138"/>
      <c r="E569" s="138"/>
      <c r="F569" s="138"/>
      <c r="G569" s="138"/>
      <c r="H569" s="138"/>
      <c r="I569" s="138"/>
      <c r="T569" s="31"/>
    </row>
    <row r="570">
      <c r="A570" s="138"/>
      <c r="B570" s="138"/>
      <c r="C570" s="138"/>
      <c r="D570" s="138"/>
      <c r="E570" s="138"/>
      <c r="F570" s="138"/>
      <c r="G570" s="138"/>
      <c r="H570" s="138"/>
      <c r="I570" s="138"/>
      <c r="T570" s="31"/>
    </row>
    <row r="571">
      <c r="A571" s="138"/>
      <c r="B571" s="138"/>
      <c r="C571" s="138"/>
      <c r="D571" s="138"/>
      <c r="E571" s="138"/>
      <c r="F571" s="138"/>
      <c r="G571" s="138"/>
      <c r="H571" s="138"/>
      <c r="I571" s="138"/>
      <c r="T571" s="31"/>
    </row>
    <row r="572">
      <c r="A572" s="138"/>
      <c r="B572" s="138"/>
      <c r="C572" s="138"/>
      <c r="D572" s="138"/>
      <c r="E572" s="138"/>
      <c r="F572" s="138"/>
      <c r="G572" s="138"/>
      <c r="H572" s="138"/>
      <c r="I572" s="138"/>
      <c r="T572" s="31"/>
    </row>
    <row r="573">
      <c r="A573" s="138"/>
      <c r="B573" s="138"/>
      <c r="C573" s="138"/>
      <c r="D573" s="138"/>
      <c r="E573" s="138"/>
      <c r="F573" s="138"/>
      <c r="G573" s="138"/>
      <c r="H573" s="138"/>
      <c r="I573" s="138"/>
      <c r="T573" s="31"/>
    </row>
    <row r="574">
      <c r="A574" s="138"/>
      <c r="B574" s="138"/>
      <c r="C574" s="138"/>
      <c r="D574" s="138"/>
      <c r="E574" s="138"/>
      <c r="F574" s="138"/>
      <c r="G574" s="138"/>
      <c r="H574" s="138"/>
      <c r="I574" s="138"/>
      <c r="T574" s="31"/>
    </row>
    <row r="575">
      <c r="A575" s="138"/>
      <c r="B575" s="138"/>
      <c r="C575" s="138"/>
      <c r="D575" s="138"/>
      <c r="E575" s="138"/>
      <c r="F575" s="138"/>
      <c r="G575" s="138"/>
      <c r="H575" s="138"/>
      <c r="I575" s="138"/>
      <c r="T575" s="31"/>
    </row>
    <row r="576">
      <c r="A576" s="138"/>
      <c r="B576" s="138"/>
      <c r="C576" s="138"/>
      <c r="D576" s="138"/>
      <c r="E576" s="138"/>
      <c r="F576" s="138"/>
      <c r="G576" s="138"/>
      <c r="H576" s="138"/>
      <c r="I576" s="138"/>
      <c r="T576" s="31"/>
    </row>
    <row r="577">
      <c r="A577" s="138"/>
      <c r="B577" s="138"/>
      <c r="C577" s="138"/>
      <c r="D577" s="138"/>
      <c r="E577" s="138"/>
      <c r="F577" s="138"/>
      <c r="G577" s="138"/>
      <c r="H577" s="138"/>
      <c r="I577" s="138"/>
      <c r="T577" s="31"/>
    </row>
    <row r="578">
      <c r="A578" s="138"/>
      <c r="B578" s="138"/>
      <c r="C578" s="138"/>
      <c r="D578" s="138"/>
      <c r="E578" s="138"/>
      <c r="F578" s="138"/>
      <c r="G578" s="138"/>
      <c r="H578" s="138"/>
      <c r="I578" s="138"/>
      <c r="T578" s="31"/>
    </row>
    <row r="579">
      <c r="A579" s="138"/>
      <c r="B579" s="138"/>
      <c r="C579" s="138"/>
      <c r="D579" s="138"/>
      <c r="E579" s="138"/>
      <c r="F579" s="138"/>
      <c r="G579" s="138"/>
      <c r="H579" s="138"/>
      <c r="I579" s="138"/>
      <c r="T579" s="31"/>
    </row>
    <row r="580">
      <c r="A580" s="138"/>
      <c r="B580" s="138"/>
      <c r="C580" s="138"/>
      <c r="D580" s="138"/>
      <c r="E580" s="138"/>
      <c r="F580" s="138"/>
      <c r="G580" s="138"/>
      <c r="H580" s="138"/>
      <c r="I580" s="138"/>
      <c r="T580" s="31"/>
    </row>
    <row r="581">
      <c r="A581" s="138"/>
      <c r="B581" s="138"/>
      <c r="C581" s="138"/>
      <c r="D581" s="138"/>
      <c r="E581" s="138"/>
      <c r="F581" s="138"/>
      <c r="G581" s="138"/>
      <c r="H581" s="138"/>
      <c r="I581" s="138"/>
      <c r="T581" s="31"/>
    </row>
    <row r="582">
      <c r="A582" s="138"/>
      <c r="B582" s="138"/>
      <c r="C582" s="138"/>
      <c r="D582" s="138"/>
      <c r="E582" s="138"/>
      <c r="F582" s="138"/>
      <c r="G582" s="138"/>
      <c r="H582" s="138"/>
      <c r="I582" s="138"/>
      <c r="T582" s="31"/>
    </row>
    <row r="583">
      <c r="A583" s="138"/>
      <c r="B583" s="138"/>
      <c r="C583" s="138"/>
      <c r="D583" s="138"/>
      <c r="E583" s="138"/>
      <c r="F583" s="138"/>
      <c r="G583" s="138"/>
      <c r="H583" s="138"/>
      <c r="I583" s="138"/>
      <c r="T583" s="31"/>
    </row>
    <row r="584">
      <c r="A584" s="138"/>
      <c r="B584" s="138"/>
      <c r="C584" s="138"/>
      <c r="D584" s="138"/>
      <c r="E584" s="138"/>
      <c r="F584" s="138"/>
      <c r="G584" s="138"/>
      <c r="H584" s="138"/>
      <c r="I584" s="138"/>
      <c r="T584" s="31"/>
    </row>
    <row r="585">
      <c r="A585" s="138"/>
      <c r="B585" s="138"/>
      <c r="C585" s="138"/>
      <c r="D585" s="138"/>
      <c r="E585" s="138"/>
      <c r="F585" s="138"/>
      <c r="G585" s="138"/>
      <c r="H585" s="138"/>
      <c r="I585" s="138"/>
      <c r="T585" s="31"/>
    </row>
    <row r="586">
      <c r="A586" s="138"/>
      <c r="B586" s="138"/>
      <c r="C586" s="138"/>
      <c r="D586" s="138"/>
      <c r="E586" s="138"/>
      <c r="F586" s="138"/>
      <c r="G586" s="138"/>
      <c r="H586" s="138"/>
      <c r="I586" s="138"/>
      <c r="T586" s="31"/>
    </row>
    <row r="587">
      <c r="A587" s="138"/>
      <c r="B587" s="138"/>
      <c r="C587" s="138"/>
      <c r="D587" s="138"/>
      <c r="E587" s="138"/>
      <c r="F587" s="138"/>
      <c r="G587" s="138"/>
      <c r="H587" s="138"/>
      <c r="I587" s="138"/>
      <c r="T587" s="31"/>
    </row>
    <row r="588">
      <c r="A588" s="138"/>
      <c r="B588" s="138"/>
      <c r="C588" s="138"/>
      <c r="D588" s="138"/>
      <c r="E588" s="138"/>
      <c r="F588" s="138"/>
      <c r="G588" s="138"/>
      <c r="H588" s="138"/>
      <c r="I588" s="138"/>
      <c r="T588" s="31"/>
    </row>
    <row r="589">
      <c r="A589" s="138"/>
      <c r="B589" s="138"/>
      <c r="C589" s="138"/>
      <c r="D589" s="138"/>
      <c r="E589" s="138"/>
      <c r="F589" s="138"/>
      <c r="G589" s="138"/>
      <c r="H589" s="138"/>
      <c r="I589" s="138"/>
      <c r="T589" s="31"/>
    </row>
    <row r="590">
      <c r="A590" s="138"/>
      <c r="B590" s="138"/>
      <c r="C590" s="138"/>
      <c r="D590" s="138"/>
      <c r="E590" s="138"/>
      <c r="F590" s="138"/>
      <c r="G590" s="138"/>
      <c r="H590" s="138"/>
      <c r="I590" s="138"/>
      <c r="T590" s="31"/>
    </row>
    <row r="591">
      <c r="A591" s="138"/>
      <c r="B591" s="138"/>
      <c r="C591" s="138"/>
      <c r="D591" s="138"/>
      <c r="E591" s="138"/>
      <c r="F591" s="138"/>
      <c r="G591" s="138"/>
      <c r="H591" s="138"/>
      <c r="I591" s="138"/>
      <c r="T591" s="31"/>
    </row>
    <row r="592">
      <c r="A592" s="138"/>
      <c r="B592" s="138"/>
      <c r="C592" s="138"/>
      <c r="D592" s="138"/>
      <c r="E592" s="138"/>
      <c r="F592" s="138"/>
      <c r="G592" s="138"/>
      <c r="H592" s="138"/>
      <c r="I592" s="138"/>
      <c r="T592" s="31"/>
    </row>
    <row r="593">
      <c r="A593" s="138"/>
      <c r="B593" s="138"/>
      <c r="C593" s="138"/>
      <c r="D593" s="138"/>
      <c r="E593" s="138"/>
      <c r="F593" s="138"/>
      <c r="G593" s="138"/>
      <c r="H593" s="138"/>
      <c r="I593" s="138"/>
      <c r="T593" s="31"/>
    </row>
    <row r="594">
      <c r="A594" s="138"/>
      <c r="B594" s="138"/>
      <c r="C594" s="138"/>
      <c r="D594" s="138"/>
      <c r="E594" s="138"/>
      <c r="F594" s="138"/>
      <c r="G594" s="138"/>
      <c r="H594" s="138"/>
      <c r="I594" s="138"/>
      <c r="T594" s="31"/>
    </row>
    <row r="595">
      <c r="A595" s="138"/>
      <c r="B595" s="138"/>
      <c r="C595" s="138"/>
      <c r="D595" s="138"/>
      <c r="E595" s="138"/>
      <c r="F595" s="138"/>
      <c r="G595" s="138"/>
      <c r="H595" s="138"/>
      <c r="I595" s="138"/>
      <c r="T595" s="31"/>
    </row>
    <row r="596">
      <c r="A596" s="138"/>
      <c r="B596" s="138"/>
      <c r="C596" s="138"/>
      <c r="D596" s="138"/>
      <c r="E596" s="138"/>
      <c r="F596" s="138"/>
      <c r="G596" s="138"/>
      <c r="H596" s="138"/>
      <c r="I596" s="138"/>
      <c r="T596" s="31"/>
    </row>
    <row r="597">
      <c r="A597" s="138"/>
      <c r="B597" s="138"/>
      <c r="C597" s="138"/>
      <c r="D597" s="138"/>
      <c r="E597" s="138"/>
      <c r="F597" s="138"/>
      <c r="G597" s="138"/>
      <c r="H597" s="138"/>
      <c r="I597" s="138"/>
      <c r="T597" s="31"/>
    </row>
    <row r="598">
      <c r="A598" s="138"/>
      <c r="B598" s="138"/>
      <c r="C598" s="138"/>
      <c r="D598" s="138"/>
      <c r="E598" s="138"/>
      <c r="F598" s="138"/>
      <c r="G598" s="138"/>
      <c r="H598" s="138"/>
      <c r="I598" s="138"/>
      <c r="T598" s="31"/>
    </row>
    <row r="599">
      <c r="A599" s="138"/>
      <c r="B599" s="138"/>
      <c r="C599" s="138"/>
      <c r="D599" s="138"/>
      <c r="E599" s="138"/>
      <c r="F599" s="138"/>
      <c r="G599" s="138"/>
      <c r="H599" s="138"/>
      <c r="I599" s="138"/>
      <c r="T599" s="31"/>
    </row>
    <row r="600">
      <c r="A600" s="138"/>
      <c r="B600" s="138"/>
      <c r="C600" s="138"/>
      <c r="D600" s="138"/>
      <c r="E600" s="138"/>
      <c r="F600" s="138"/>
      <c r="G600" s="138"/>
      <c r="H600" s="138"/>
      <c r="I600" s="138"/>
      <c r="T600" s="31"/>
    </row>
    <row r="601">
      <c r="A601" s="138"/>
      <c r="B601" s="138"/>
      <c r="C601" s="138"/>
      <c r="D601" s="138"/>
      <c r="E601" s="138"/>
      <c r="F601" s="138"/>
      <c r="G601" s="138"/>
      <c r="H601" s="138"/>
      <c r="I601" s="138"/>
      <c r="T601" s="31"/>
    </row>
    <row r="602">
      <c r="A602" s="138"/>
      <c r="B602" s="138"/>
      <c r="C602" s="138"/>
      <c r="D602" s="138"/>
      <c r="E602" s="138"/>
      <c r="F602" s="138"/>
      <c r="G602" s="138"/>
      <c r="H602" s="138"/>
      <c r="I602" s="138"/>
      <c r="T602" s="31"/>
    </row>
    <row r="603">
      <c r="A603" s="138"/>
      <c r="B603" s="138"/>
      <c r="C603" s="138"/>
      <c r="D603" s="138"/>
      <c r="E603" s="138"/>
      <c r="F603" s="138"/>
      <c r="G603" s="138"/>
      <c r="H603" s="138"/>
      <c r="I603" s="138"/>
      <c r="T603" s="31"/>
    </row>
    <row r="604">
      <c r="A604" s="138"/>
      <c r="B604" s="138"/>
      <c r="C604" s="138"/>
      <c r="D604" s="138"/>
      <c r="E604" s="138"/>
      <c r="F604" s="138"/>
      <c r="G604" s="138"/>
      <c r="H604" s="138"/>
      <c r="I604" s="138"/>
      <c r="T604" s="31"/>
    </row>
    <row r="605">
      <c r="A605" s="138"/>
      <c r="B605" s="138"/>
      <c r="C605" s="138"/>
      <c r="D605" s="138"/>
      <c r="E605" s="138"/>
      <c r="F605" s="138"/>
      <c r="G605" s="138"/>
      <c r="H605" s="138"/>
      <c r="I605" s="138"/>
      <c r="T605" s="31"/>
    </row>
    <row r="606">
      <c r="A606" s="138"/>
      <c r="B606" s="138"/>
      <c r="C606" s="138"/>
      <c r="D606" s="138"/>
      <c r="E606" s="138"/>
      <c r="F606" s="138"/>
      <c r="G606" s="138"/>
      <c r="H606" s="138"/>
      <c r="I606" s="138"/>
      <c r="T606" s="31"/>
    </row>
    <row r="607">
      <c r="A607" s="138"/>
      <c r="B607" s="138"/>
      <c r="C607" s="138"/>
      <c r="D607" s="138"/>
      <c r="E607" s="138"/>
      <c r="F607" s="138"/>
      <c r="G607" s="138"/>
      <c r="H607" s="138"/>
      <c r="I607" s="138"/>
      <c r="T607" s="31"/>
    </row>
    <row r="608">
      <c r="A608" s="138"/>
      <c r="B608" s="138"/>
      <c r="C608" s="138"/>
      <c r="D608" s="138"/>
      <c r="E608" s="138"/>
      <c r="F608" s="138"/>
      <c r="G608" s="138"/>
      <c r="H608" s="138"/>
      <c r="I608" s="138"/>
      <c r="T608" s="31"/>
    </row>
    <row r="609">
      <c r="A609" s="138"/>
      <c r="B609" s="138"/>
      <c r="C609" s="138"/>
      <c r="D609" s="138"/>
      <c r="E609" s="138"/>
      <c r="F609" s="138"/>
      <c r="G609" s="138"/>
      <c r="H609" s="138"/>
      <c r="I609" s="138"/>
      <c r="T609" s="31"/>
    </row>
    <row r="610">
      <c r="A610" s="138"/>
      <c r="B610" s="138"/>
      <c r="C610" s="138"/>
      <c r="D610" s="138"/>
      <c r="E610" s="138"/>
      <c r="F610" s="138"/>
      <c r="G610" s="138"/>
      <c r="H610" s="138"/>
      <c r="I610" s="138"/>
      <c r="T610" s="31"/>
    </row>
    <row r="611">
      <c r="A611" s="138"/>
      <c r="B611" s="138"/>
      <c r="C611" s="138"/>
      <c r="D611" s="138"/>
      <c r="E611" s="138"/>
      <c r="F611" s="138"/>
      <c r="G611" s="138"/>
      <c r="H611" s="138"/>
      <c r="I611" s="138"/>
      <c r="T611" s="31"/>
    </row>
    <row r="612">
      <c r="A612" s="138"/>
      <c r="B612" s="138"/>
      <c r="C612" s="138"/>
      <c r="D612" s="138"/>
      <c r="E612" s="138"/>
      <c r="F612" s="138"/>
      <c r="G612" s="138"/>
      <c r="H612" s="138"/>
      <c r="I612" s="138"/>
      <c r="T612" s="31"/>
    </row>
    <row r="613">
      <c r="A613" s="138"/>
      <c r="B613" s="138"/>
      <c r="C613" s="138"/>
      <c r="D613" s="138"/>
      <c r="E613" s="138"/>
      <c r="F613" s="138"/>
      <c r="G613" s="138"/>
      <c r="H613" s="138"/>
      <c r="I613" s="138"/>
      <c r="T613" s="31"/>
    </row>
    <row r="614">
      <c r="A614" s="138"/>
      <c r="B614" s="138"/>
      <c r="C614" s="138"/>
      <c r="D614" s="138"/>
      <c r="E614" s="138"/>
      <c r="F614" s="138"/>
      <c r="G614" s="138"/>
      <c r="H614" s="138"/>
      <c r="I614" s="138"/>
      <c r="T614" s="31"/>
    </row>
    <row r="615">
      <c r="A615" s="138"/>
      <c r="B615" s="138"/>
      <c r="C615" s="138"/>
      <c r="D615" s="138"/>
      <c r="E615" s="138"/>
      <c r="F615" s="138"/>
      <c r="G615" s="138"/>
      <c r="H615" s="138"/>
      <c r="I615" s="138"/>
      <c r="T615" s="31"/>
    </row>
    <row r="616">
      <c r="A616" s="138"/>
      <c r="B616" s="138"/>
      <c r="C616" s="138"/>
      <c r="D616" s="138"/>
      <c r="E616" s="138"/>
      <c r="F616" s="138"/>
      <c r="G616" s="138"/>
      <c r="H616" s="138"/>
      <c r="I616" s="138"/>
      <c r="T616" s="31"/>
    </row>
    <row r="617">
      <c r="A617" s="138"/>
      <c r="B617" s="138"/>
      <c r="C617" s="138"/>
      <c r="D617" s="138"/>
      <c r="E617" s="138"/>
      <c r="F617" s="138"/>
      <c r="G617" s="138"/>
      <c r="H617" s="138"/>
      <c r="I617" s="138"/>
      <c r="T617" s="31"/>
    </row>
    <row r="618">
      <c r="A618" s="138"/>
      <c r="B618" s="138"/>
      <c r="C618" s="138"/>
      <c r="D618" s="138"/>
      <c r="E618" s="138"/>
      <c r="F618" s="138"/>
      <c r="G618" s="138"/>
      <c r="H618" s="138"/>
      <c r="I618" s="138"/>
      <c r="T618" s="31"/>
    </row>
    <row r="619">
      <c r="A619" s="138"/>
      <c r="B619" s="138"/>
      <c r="C619" s="138"/>
      <c r="D619" s="138"/>
      <c r="E619" s="138"/>
      <c r="F619" s="138"/>
      <c r="G619" s="138"/>
      <c r="H619" s="138"/>
      <c r="I619" s="138"/>
      <c r="T619" s="31"/>
    </row>
    <row r="620">
      <c r="A620" s="138"/>
      <c r="B620" s="138"/>
      <c r="C620" s="138"/>
      <c r="D620" s="138"/>
      <c r="E620" s="138"/>
      <c r="F620" s="138"/>
      <c r="G620" s="138"/>
      <c r="H620" s="138"/>
      <c r="I620" s="138"/>
      <c r="T620" s="31"/>
    </row>
    <row r="621">
      <c r="A621" s="138"/>
      <c r="B621" s="138"/>
      <c r="C621" s="138"/>
      <c r="D621" s="138"/>
      <c r="E621" s="138"/>
      <c r="F621" s="138"/>
      <c r="G621" s="138"/>
      <c r="H621" s="138"/>
      <c r="I621" s="138"/>
      <c r="T621" s="31"/>
    </row>
    <row r="622">
      <c r="A622" s="138"/>
      <c r="B622" s="138"/>
      <c r="C622" s="138"/>
      <c r="D622" s="138"/>
      <c r="E622" s="138"/>
      <c r="F622" s="138"/>
      <c r="G622" s="138"/>
      <c r="H622" s="138"/>
      <c r="I622" s="138"/>
      <c r="T622" s="31"/>
    </row>
    <row r="623">
      <c r="A623" s="138"/>
      <c r="B623" s="138"/>
      <c r="C623" s="138"/>
      <c r="D623" s="138"/>
      <c r="E623" s="138"/>
      <c r="F623" s="138"/>
      <c r="G623" s="138"/>
      <c r="H623" s="138"/>
      <c r="I623" s="138"/>
      <c r="T623" s="31"/>
    </row>
    <row r="624">
      <c r="A624" s="138"/>
      <c r="B624" s="138"/>
      <c r="C624" s="138"/>
      <c r="D624" s="138"/>
      <c r="E624" s="138"/>
      <c r="F624" s="138"/>
      <c r="G624" s="138"/>
      <c r="H624" s="138"/>
      <c r="I624" s="138"/>
      <c r="T624" s="31"/>
    </row>
    <row r="625">
      <c r="A625" s="138"/>
      <c r="B625" s="138"/>
      <c r="C625" s="138"/>
      <c r="D625" s="138"/>
      <c r="E625" s="138"/>
      <c r="F625" s="138"/>
      <c r="G625" s="138"/>
      <c r="H625" s="138"/>
      <c r="I625" s="138"/>
      <c r="T625" s="31"/>
    </row>
    <row r="626">
      <c r="A626" s="138"/>
      <c r="B626" s="138"/>
      <c r="C626" s="138"/>
      <c r="D626" s="138"/>
      <c r="E626" s="138"/>
      <c r="F626" s="138"/>
      <c r="G626" s="138"/>
      <c r="H626" s="138"/>
      <c r="I626" s="138"/>
      <c r="T626" s="31"/>
    </row>
    <row r="627">
      <c r="A627" s="138"/>
      <c r="B627" s="138"/>
      <c r="C627" s="138"/>
      <c r="D627" s="138"/>
      <c r="E627" s="138"/>
      <c r="F627" s="138"/>
      <c r="G627" s="138"/>
      <c r="H627" s="138"/>
      <c r="I627" s="138"/>
      <c r="T627" s="31"/>
    </row>
    <row r="628">
      <c r="A628" s="138"/>
      <c r="B628" s="138"/>
      <c r="C628" s="138"/>
      <c r="D628" s="138"/>
      <c r="E628" s="138"/>
      <c r="F628" s="138"/>
      <c r="G628" s="138"/>
      <c r="H628" s="138"/>
      <c r="I628" s="138"/>
      <c r="T628" s="31"/>
    </row>
    <row r="629">
      <c r="A629" s="138"/>
      <c r="B629" s="138"/>
      <c r="C629" s="138"/>
      <c r="D629" s="138"/>
      <c r="E629" s="138"/>
      <c r="F629" s="138"/>
      <c r="G629" s="138"/>
      <c r="H629" s="138"/>
      <c r="I629" s="138"/>
      <c r="T629" s="31"/>
    </row>
    <row r="630">
      <c r="A630" s="138"/>
      <c r="B630" s="138"/>
      <c r="C630" s="138"/>
      <c r="D630" s="138"/>
      <c r="E630" s="138"/>
      <c r="F630" s="138"/>
      <c r="G630" s="138"/>
      <c r="H630" s="138"/>
      <c r="I630" s="138"/>
      <c r="T630" s="31"/>
    </row>
    <row r="631">
      <c r="A631" s="138"/>
      <c r="B631" s="138"/>
      <c r="C631" s="138"/>
      <c r="D631" s="138"/>
      <c r="E631" s="138"/>
      <c r="F631" s="138"/>
      <c r="G631" s="138"/>
      <c r="H631" s="138"/>
      <c r="I631" s="138"/>
      <c r="T631" s="31"/>
    </row>
    <row r="632">
      <c r="A632" s="138"/>
      <c r="B632" s="138"/>
      <c r="C632" s="138"/>
      <c r="D632" s="138"/>
      <c r="E632" s="138"/>
      <c r="F632" s="138"/>
      <c r="G632" s="138"/>
      <c r="H632" s="138"/>
      <c r="I632" s="138"/>
      <c r="T632" s="31"/>
    </row>
    <row r="633">
      <c r="A633" s="138"/>
      <c r="B633" s="138"/>
      <c r="C633" s="138"/>
      <c r="D633" s="138"/>
      <c r="E633" s="138"/>
      <c r="F633" s="138"/>
      <c r="G633" s="138"/>
      <c r="H633" s="138"/>
      <c r="I633" s="138"/>
      <c r="T633" s="31"/>
    </row>
    <row r="634">
      <c r="A634" s="138"/>
      <c r="B634" s="138"/>
      <c r="C634" s="138"/>
      <c r="D634" s="138"/>
      <c r="E634" s="138"/>
      <c r="F634" s="138"/>
      <c r="G634" s="138"/>
      <c r="H634" s="138"/>
      <c r="I634" s="138"/>
      <c r="T634" s="31"/>
    </row>
    <row r="635">
      <c r="A635" s="138"/>
      <c r="B635" s="138"/>
      <c r="C635" s="138"/>
      <c r="D635" s="138"/>
      <c r="E635" s="138"/>
      <c r="F635" s="138"/>
      <c r="G635" s="138"/>
      <c r="H635" s="138"/>
      <c r="I635" s="138"/>
      <c r="T635" s="31"/>
    </row>
    <row r="636">
      <c r="A636" s="138"/>
      <c r="B636" s="138"/>
      <c r="C636" s="138"/>
      <c r="D636" s="138"/>
      <c r="E636" s="138"/>
      <c r="F636" s="138"/>
      <c r="G636" s="138"/>
      <c r="H636" s="138"/>
      <c r="I636" s="138"/>
      <c r="T636" s="31"/>
    </row>
    <row r="637">
      <c r="A637" s="138"/>
      <c r="B637" s="138"/>
      <c r="C637" s="138"/>
      <c r="D637" s="138"/>
      <c r="E637" s="138"/>
      <c r="F637" s="138"/>
      <c r="G637" s="138"/>
      <c r="H637" s="138"/>
      <c r="I637" s="138"/>
      <c r="T637" s="31"/>
    </row>
    <row r="638">
      <c r="A638" s="138"/>
      <c r="B638" s="138"/>
      <c r="C638" s="138"/>
      <c r="D638" s="138"/>
      <c r="E638" s="138"/>
      <c r="F638" s="138"/>
      <c r="G638" s="138"/>
      <c r="H638" s="138"/>
      <c r="I638" s="138"/>
      <c r="T638" s="31"/>
    </row>
    <row r="639">
      <c r="A639" s="138"/>
      <c r="B639" s="138"/>
      <c r="C639" s="138"/>
      <c r="D639" s="138"/>
      <c r="E639" s="138"/>
      <c r="F639" s="138"/>
      <c r="G639" s="138"/>
      <c r="H639" s="138"/>
      <c r="I639" s="138"/>
      <c r="T639" s="31"/>
    </row>
    <row r="640">
      <c r="A640" s="138"/>
      <c r="B640" s="138"/>
      <c r="C640" s="138"/>
      <c r="D640" s="138"/>
      <c r="E640" s="138"/>
      <c r="F640" s="138"/>
      <c r="G640" s="138"/>
      <c r="H640" s="138"/>
      <c r="I640" s="138"/>
      <c r="T640" s="31"/>
    </row>
    <row r="641">
      <c r="A641" s="138"/>
      <c r="B641" s="138"/>
      <c r="C641" s="138"/>
      <c r="D641" s="138"/>
      <c r="E641" s="138"/>
      <c r="F641" s="138"/>
      <c r="G641" s="138"/>
      <c r="H641" s="138"/>
      <c r="I641" s="138"/>
      <c r="T641" s="31"/>
    </row>
    <row r="642">
      <c r="A642" s="138"/>
      <c r="B642" s="138"/>
      <c r="C642" s="138"/>
      <c r="D642" s="138"/>
      <c r="E642" s="138"/>
      <c r="F642" s="138"/>
      <c r="G642" s="138"/>
      <c r="H642" s="138"/>
      <c r="I642" s="138"/>
      <c r="T642" s="31"/>
    </row>
    <row r="643">
      <c r="A643" s="138"/>
      <c r="B643" s="138"/>
      <c r="C643" s="138"/>
      <c r="D643" s="138"/>
      <c r="E643" s="138"/>
      <c r="F643" s="138"/>
      <c r="G643" s="138"/>
      <c r="H643" s="138"/>
      <c r="I643" s="138"/>
      <c r="T643" s="31"/>
    </row>
    <row r="644">
      <c r="A644" s="138"/>
      <c r="B644" s="138"/>
      <c r="C644" s="138"/>
      <c r="D644" s="138"/>
      <c r="E644" s="138"/>
      <c r="F644" s="138"/>
      <c r="G644" s="138"/>
      <c r="H644" s="138"/>
      <c r="I644" s="138"/>
      <c r="T644" s="31"/>
    </row>
    <row r="645">
      <c r="A645" s="138"/>
      <c r="B645" s="138"/>
      <c r="C645" s="138"/>
      <c r="D645" s="138"/>
      <c r="E645" s="138"/>
      <c r="F645" s="138"/>
      <c r="G645" s="138"/>
      <c r="H645" s="138"/>
      <c r="I645" s="138"/>
      <c r="T645" s="31"/>
    </row>
    <row r="646">
      <c r="A646" s="138"/>
      <c r="B646" s="138"/>
      <c r="C646" s="138"/>
      <c r="D646" s="138"/>
      <c r="E646" s="138"/>
      <c r="F646" s="138"/>
      <c r="G646" s="138"/>
      <c r="H646" s="138"/>
      <c r="I646" s="138"/>
      <c r="T646" s="31"/>
    </row>
    <row r="647">
      <c r="A647" s="138"/>
      <c r="B647" s="138"/>
      <c r="C647" s="138"/>
      <c r="D647" s="138"/>
      <c r="E647" s="138"/>
      <c r="F647" s="138"/>
      <c r="G647" s="138"/>
      <c r="H647" s="138"/>
      <c r="I647" s="138"/>
      <c r="T647" s="31"/>
    </row>
    <row r="648">
      <c r="A648" s="138"/>
      <c r="B648" s="138"/>
      <c r="C648" s="138"/>
      <c r="D648" s="138"/>
      <c r="E648" s="138"/>
      <c r="F648" s="138"/>
      <c r="G648" s="138"/>
      <c r="H648" s="138"/>
      <c r="I648" s="138"/>
      <c r="T648" s="31"/>
    </row>
    <row r="649">
      <c r="A649" s="138"/>
      <c r="B649" s="138"/>
      <c r="C649" s="138"/>
      <c r="D649" s="138"/>
      <c r="E649" s="138"/>
      <c r="F649" s="138"/>
      <c r="G649" s="138"/>
      <c r="H649" s="138"/>
      <c r="I649" s="138"/>
      <c r="T649" s="31"/>
    </row>
    <row r="650">
      <c r="A650" s="138"/>
      <c r="B650" s="138"/>
      <c r="C650" s="138"/>
      <c r="D650" s="138"/>
      <c r="E650" s="138"/>
      <c r="F650" s="138"/>
      <c r="G650" s="138"/>
      <c r="H650" s="138"/>
      <c r="I650" s="138"/>
      <c r="T650" s="31"/>
    </row>
    <row r="651">
      <c r="A651" s="138"/>
      <c r="B651" s="138"/>
      <c r="C651" s="138"/>
      <c r="D651" s="138"/>
      <c r="E651" s="138"/>
      <c r="F651" s="138"/>
      <c r="G651" s="138"/>
      <c r="H651" s="138"/>
      <c r="I651" s="138"/>
      <c r="T651" s="31"/>
    </row>
    <row r="652">
      <c r="A652" s="138"/>
      <c r="B652" s="138"/>
      <c r="C652" s="138"/>
      <c r="D652" s="138"/>
      <c r="E652" s="138"/>
      <c r="F652" s="138"/>
      <c r="G652" s="138"/>
      <c r="H652" s="138"/>
      <c r="I652" s="138"/>
      <c r="T652" s="31"/>
    </row>
    <row r="653">
      <c r="A653" s="138"/>
      <c r="B653" s="138"/>
      <c r="C653" s="138"/>
      <c r="D653" s="138"/>
      <c r="E653" s="138"/>
      <c r="F653" s="138"/>
      <c r="G653" s="138"/>
      <c r="H653" s="138"/>
      <c r="I653" s="138"/>
      <c r="T653" s="31"/>
    </row>
    <row r="654">
      <c r="A654" s="138"/>
      <c r="B654" s="138"/>
      <c r="C654" s="138"/>
      <c r="D654" s="138"/>
      <c r="E654" s="138"/>
      <c r="F654" s="138"/>
      <c r="G654" s="138"/>
      <c r="H654" s="138"/>
      <c r="I654" s="138"/>
      <c r="T654" s="31"/>
    </row>
    <row r="655">
      <c r="A655" s="138"/>
      <c r="B655" s="138"/>
      <c r="C655" s="138"/>
      <c r="D655" s="138"/>
      <c r="E655" s="138"/>
      <c r="F655" s="138"/>
      <c r="G655" s="138"/>
      <c r="H655" s="138"/>
      <c r="I655" s="138"/>
      <c r="T655" s="31"/>
    </row>
    <row r="656">
      <c r="A656" s="138"/>
      <c r="B656" s="138"/>
      <c r="C656" s="138"/>
      <c r="D656" s="138"/>
      <c r="E656" s="138"/>
      <c r="F656" s="138"/>
      <c r="G656" s="138"/>
      <c r="H656" s="138"/>
      <c r="I656" s="138"/>
      <c r="T656" s="31"/>
    </row>
    <row r="657">
      <c r="A657" s="138"/>
      <c r="B657" s="138"/>
      <c r="C657" s="138"/>
      <c r="D657" s="138"/>
      <c r="E657" s="138"/>
      <c r="F657" s="138"/>
      <c r="G657" s="138"/>
      <c r="H657" s="138"/>
      <c r="I657" s="138"/>
      <c r="T657" s="31"/>
    </row>
    <row r="658">
      <c r="A658" s="138"/>
      <c r="B658" s="138"/>
      <c r="C658" s="138"/>
      <c r="D658" s="138"/>
      <c r="E658" s="138"/>
      <c r="F658" s="138"/>
      <c r="G658" s="138"/>
      <c r="H658" s="138"/>
      <c r="I658" s="138"/>
      <c r="T658" s="31"/>
    </row>
    <row r="659">
      <c r="A659" s="138"/>
      <c r="B659" s="138"/>
      <c r="C659" s="138"/>
      <c r="D659" s="138"/>
      <c r="E659" s="138"/>
      <c r="F659" s="138"/>
      <c r="G659" s="138"/>
      <c r="H659" s="138"/>
      <c r="I659" s="138"/>
      <c r="T659" s="31"/>
    </row>
    <row r="660">
      <c r="A660" s="138"/>
      <c r="B660" s="138"/>
      <c r="C660" s="138"/>
      <c r="D660" s="138"/>
      <c r="E660" s="138"/>
      <c r="F660" s="138"/>
      <c r="G660" s="138"/>
      <c r="H660" s="138"/>
      <c r="I660" s="138"/>
      <c r="T660" s="31"/>
    </row>
    <row r="661">
      <c r="A661" s="138"/>
      <c r="B661" s="138"/>
      <c r="C661" s="138"/>
      <c r="D661" s="138"/>
      <c r="E661" s="138"/>
      <c r="F661" s="138"/>
      <c r="G661" s="138"/>
      <c r="H661" s="138"/>
      <c r="I661" s="138"/>
      <c r="T661" s="31"/>
    </row>
    <row r="662">
      <c r="A662" s="138"/>
      <c r="B662" s="138"/>
      <c r="C662" s="138"/>
      <c r="D662" s="138"/>
      <c r="E662" s="138"/>
      <c r="F662" s="138"/>
      <c r="G662" s="138"/>
      <c r="H662" s="138"/>
      <c r="I662" s="138"/>
      <c r="T662" s="31"/>
    </row>
    <row r="663">
      <c r="A663" s="138"/>
      <c r="B663" s="138"/>
      <c r="C663" s="138"/>
      <c r="D663" s="138"/>
      <c r="E663" s="138"/>
      <c r="F663" s="138"/>
      <c r="G663" s="138"/>
      <c r="H663" s="138"/>
      <c r="I663" s="138"/>
      <c r="T663" s="31"/>
    </row>
    <row r="664">
      <c r="A664" s="138"/>
      <c r="B664" s="138"/>
      <c r="C664" s="138"/>
      <c r="D664" s="138"/>
      <c r="E664" s="138"/>
      <c r="F664" s="138"/>
      <c r="G664" s="138"/>
      <c r="H664" s="138"/>
      <c r="I664" s="138"/>
      <c r="T664" s="31"/>
    </row>
    <row r="665">
      <c r="A665" s="138"/>
      <c r="B665" s="138"/>
      <c r="C665" s="138"/>
      <c r="D665" s="138"/>
      <c r="E665" s="138"/>
      <c r="F665" s="138"/>
      <c r="G665" s="138"/>
      <c r="H665" s="138"/>
      <c r="I665" s="138"/>
      <c r="T665" s="31"/>
    </row>
    <row r="666">
      <c r="A666" s="138"/>
      <c r="B666" s="138"/>
      <c r="C666" s="138"/>
      <c r="D666" s="138"/>
      <c r="E666" s="138"/>
      <c r="F666" s="138"/>
      <c r="G666" s="138"/>
      <c r="H666" s="138"/>
      <c r="I666" s="138"/>
      <c r="T666" s="31"/>
    </row>
    <row r="667">
      <c r="A667" s="138"/>
      <c r="B667" s="138"/>
      <c r="C667" s="138"/>
      <c r="D667" s="138"/>
      <c r="E667" s="138"/>
      <c r="F667" s="138"/>
      <c r="G667" s="138"/>
      <c r="H667" s="138"/>
      <c r="I667" s="138"/>
      <c r="T667" s="31"/>
    </row>
    <row r="668">
      <c r="A668" s="138"/>
      <c r="B668" s="138"/>
      <c r="C668" s="138"/>
      <c r="D668" s="138"/>
      <c r="E668" s="138"/>
      <c r="F668" s="138"/>
      <c r="G668" s="138"/>
      <c r="H668" s="138"/>
      <c r="I668" s="138"/>
      <c r="T668" s="31"/>
    </row>
    <row r="669">
      <c r="A669" s="138"/>
      <c r="B669" s="138"/>
      <c r="C669" s="138"/>
      <c r="D669" s="138"/>
      <c r="E669" s="138"/>
      <c r="F669" s="138"/>
      <c r="G669" s="138"/>
      <c r="H669" s="138"/>
      <c r="I669" s="138"/>
      <c r="T669" s="31"/>
    </row>
    <row r="670">
      <c r="A670" s="138"/>
      <c r="B670" s="138"/>
      <c r="C670" s="138"/>
      <c r="D670" s="138"/>
      <c r="E670" s="138"/>
      <c r="F670" s="138"/>
      <c r="G670" s="138"/>
      <c r="H670" s="138"/>
      <c r="I670" s="138"/>
      <c r="T670" s="31"/>
    </row>
    <row r="671">
      <c r="A671" s="138"/>
      <c r="B671" s="138"/>
      <c r="C671" s="138"/>
      <c r="D671" s="138"/>
      <c r="E671" s="138"/>
      <c r="F671" s="138"/>
      <c r="G671" s="138"/>
      <c r="H671" s="138"/>
      <c r="I671" s="138"/>
      <c r="T671" s="31"/>
    </row>
    <row r="672">
      <c r="A672" s="138"/>
      <c r="B672" s="138"/>
      <c r="C672" s="138"/>
      <c r="D672" s="138"/>
      <c r="E672" s="138"/>
      <c r="F672" s="138"/>
      <c r="G672" s="138"/>
      <c r="H672" s="138"/>
      <c r="I672" s="138"/>
      <c r="T672" s="31"/>
    </row>
    <row r="673">
      <c r="A673" s="138"/>
      <c r="B673" s="138"/>
      <c r="C673" s="138"/>
      <c r="D673" s="138"/>
      <c r="E673" s="138"/>
      <c r="F673" s="138"/>
      <c r="G673" s="138"/>
      <c r="H673" s="138"/>
      <c r="I673" s="138"/>
      <c r="T673" s="31"/>
    </row>
    <row r="674">
      <c r="A674" s="138"/>
      <c r="B674" s="138"/>
      <c r="C674" s="138"/>
      <c r="D674" s="138"/>
      <c r="E674" s="138"/>
      <c r="F674" s="138"/>
      <c r="G674" s="138"/>
      <c r="H674" s="138"/>
      <c r="I674" s="138"/>
      <c r="T674" s="31"/>
    </row>
    <row r="675">
      <c r="A675" s="138"/>
      <c r="B675" s="138"/>
      <c r="C675" s="138"/>
      <c r="D675" s="138"/>
      <c r="E675" s="138"/>
      <c r="F675" s="138"/>
      <c r="G675" s="138"/>
      <c r="H675" s="138"/>
      <c r="I675" s="138"/>
      <c r="T675" s="31"/>
    </row>
    <row r="676">
      <c r="A676" s="138"/>
      <c r="B676" s="138"/>
      <c r="C676" s="138"/>
      <c r="D676" s="138"/>
      <c r="E676" s="138"/>
      <c r="F676" s="138"/>
      <c r="G676" s="138"/>
      <c r="H676" s="138"/>
      <c r="I676" s="138"/>
      <c r="T676" s="31"/>
    </row>
    <row r="677">
      <c r="A677" s="138"/>
      <c r="B677" s="138"/>
      <c r="C677" s="138"/>
      <c r="D677" s="138"/>
      <c r="E677" s="138"/>
      <c r="F677" s="138"/>
      <c r="G677" s="138"/>
      <c r="H677" s="138"/>
      <c r="I677" s="138"/>
      <c r="T677" s="31"/>
    </row>
    <row r="678">
      <c r="A678" s="138"/>
      <c r="B678" s="138"/>
      <c r="C678" s="138"/>
      <c r="D678" s="138"/>
      <c r="E678" s="138"/>
      <c r="F678" s="138"/>
      <c r="G678" s="138"/>
      <c r="H678" s="138"/>
      <c r="I678" s="138"/>
      <c r="T678" s="31"/>
    </row>
    <row r="679">
      <c r="A679" s="138"/>
      <c r="B679" s="138"/>
      <c r="C679" s="138"/>
      <c r="D679" s="138"/>
      <c r="E679" s="138"/>
      <c r="F679" s="138"/>
      <c r="G679" s="138"/>
      <c r="H679" s="138"/>
      <c r="I679" s="138"/>
      <c r="T679" s="31"/>
    </row>
    <row r="680">
      <c r="A680" s="138"/>
      <c r="B680" s="138"/>
      <c r="C680" s="138"/>
      <c r="D680" s="138"/>
      <c r="E680" s="138"/>
      <c r="F680" s="138"/>
      <c r="G680" s="138"/>
      <c r="H680" s="138"/>
      <c r="I680" s="138"/>
      <c r="T680" s="31"/>
    </row>
    <row r="681">
      <c r="A681" s="138"/>
      <c r="B681" s="138"/>
      <c r="C681" s="138"/>
      <c r="D681" s="138"/>
      <c r="E681" s="138"/>
      <c r="F681" s="138"/>
      <c r="G681" s="138"/>
      <c r="H681" s="138"/>
      <c r="I681" s="138"/>
      <c r="T681" s="31"/>
    </row>
    <row r="682">
      <c r="A682" s="138"/>
      <c r="B682" s="138"/>
      <c r="C682" s="138"/>
      <c r="D682" s="138"/>
      <c r="E682" s="138"/>
      <c r="F682" s="138"/>
      <c r="G682" s="138"/>
      <c r="H682" s="138"/>
      <c r="I682" s="138"/>
      <c r="T682" s="31"/>
    </row>
    <row r="683">
      <c r="A683" s="138"/>
      <c r="B683" s="138"/>
      <c r="C683" s="138"/>
      <c r="D683" s="138"/>
      <c r="E683" s="138"/>
      <c r="F683" s="138"/>
      <c r="G683" s="138"/>
      <c r="H683" s="138"/>
      <c r="I683" s="138"/>
      <c r="T683" s="31"/>
    </row>
    <row r="684">
      <c r="A684" s="138"/>
      <c r="B684" s="138"/>
      <c r="C684" s="138"/>
      <c r="D684" s="138"/>
      <c r="E684" s="138"/>
      <c r="F684" s="138"/>
      <c r="G684" s="138"/>
      <c r="H684" s="138"/>
      <c r="I684" s="138"/>
      <c r="T684" s="31"/>
    </row>
    <row r="685">
      <c r="A685" s="138"/>
      <c r="B685" s="138"/>
      <c r="C685" s="138"/>
      <c r="D685" s="138"/>
      <c r="E685" s="138"/>
      <c r="F685" s="138"/>
      <c r="G685" s="138"/>
      <c r="H685" s="138"/>
      <c r="I685" s="138"/>
      <c r="T685" s="31"/>
    </row>
    <row r="686">
      <c r="A686" s="138"/>
      <c r="B686" s="138"/>
      <c r="C686" s="138"/>
      <c r="D686" s="138"/>
      <c r="E686" s="138"/>
      <c r="F686" s="138"/>
      <c r="G686" s="138"/>
      <c r="H686" s="138"/>
      <c r="I686" s="138"/>
      <c r="T686" s="31"/>
    </row>
    <row r="687">
      <c r="A687" s="138"/>
      <c r="B687" s="138"/>
      <c r="C687" s="138"/>
      <c r="D687" s="138"/>
      <c r="E687" s="138"/>
      <c r="F687" s="138"/>
      <c r="G687" s="138"/>
      <c r="H687" s="138"/>
      <c r="I687" s="138"/>
      <c r="T687" s="31"/>
    </row>
    <row r="688">
      <c r="A688" s="138"/>
      <c r="B688" s="138"/>
      <c r="C688" s="138"/>
      <c r="D688" s="138"/>
      <c r="E688" s="138"/>
      <c r="F688" s="138"/>
      <c r="G688" s="138"/>
      <c r="H688" s="138"/>
      <c r="I688" s="138"/>
      <c r="T688" s="31"/>
    </row>
    <row r="689">
      <c r="A689" s="138"/>
      <c r="B689" s="138"/>
      <c r="C689" s="138"/>
      <c r="D689" s="138"/>
      <c r="E689" s="138"/>
      <c r="F689" s="138"/>
      <c r="G689" s="138"/>
      <c r="H689" s="138"/>
      <c r="I689" s="138"/>
      <c r="T689" s="31"/>
    </row>
    <row r="690">
      <c r="A690" s="138"/>
      <c r="B690" s="138"/>
      <c r="C690" s="138"/>
      <c r="D690" s="138"/>
      <c r="E690" s="138"/>
      <c r="F690" s="138"/>
      <c r="G690" s="138"/>
      <c r="H690" s="138"/>
      <c r="I690" s="138"/>
      <c r="T690" s="31"/>
    </row>
    <row r="691">
      <c r="A691" s="138"/>
      <c r="B691" s="138"/>
      <c r="C691" s="138"/>
      <c r="D691" s="138"/>
      <c r="E691" s="138"/>
      <c r="F691" s="138"/>
      <c r="G691" s="138"/>
      <c r="H691" s="138"/>
      <c r="I691" s="138"/>
      <c r="T691" s="31"/>
    </row>
    <row r="692">
      <c r="A692" s="138"/>
      <c r="B692" s="138"/>
      <c r="C692" s="138"/>
      <c r="D692" s="138"/>
      <c r="E692" s="138"/>
      <c r="F692" s="138"/>
      <c r="G692" s="138"/>
      <c r="H692" s="138"/>
      <c r="I692" s="138"/>
      <c r="T692" s="31"/>
    </row>
    <row r="693">
      <c r="A693" s="138"/>
      <c r="B693" s="138"/>
      <c r="C693" s="138"/>
      <c r="D693" s="138"/>
      <c r="E693" s="138"/>
      <c r="F693" s="138"/>
      <c r="G693" s="138"/>
      <c r="H693" s="138"/>
      <c r="I693" s="138"/>
      <c r="T693" s="31"/>
    </row>
    <row r="694">
      <c r="A694" s="138"/>
      <c r="B694" s="138"/>
      <c r="C694" s="138"/>
      <c r="D694" s="138"/>
      <c r="E694" s="138"/>
      <c r="F694" s="138"/>
      <c r="G694" s="138"/>
      <c r="H694" s="138"/>
      <c r="I694" s="138"/>
      <c r="T694" s="31"/>
    </row>
    <row r="695">
      <c r="A695" s="138"/>
      <c r="B695" s="138"/>
      <c r="C695" s="138"/>
      <c r="D695" s="138"/>
      <c r="E695" s="138"/>
      <c r="F695" s="138"/>
      <c r="G695" s="138"/>
      <c r="H695" s="138"/>
      <c r="I695" s="138"/>
      <c r="T695" s="31"/>
    </row>
    <row r="696">
      <c r="A696" s="138"/>
      <c r="B696" s="138"/>
      <c r="C696" s="138"/>
      <c r="D696" s="138"/>
      <c r="E696" s="138"/>
      <c r="F696" s="138"/>
      <c r="G696" s="138"/>
      <c r="H696" s="138"/>
      <c r="I696" s="138"/>
      <c r="T696" s="31"/>
    </row>
    <row r="697">
      <c r="A697" s="138"/>
      <c r="B697" s="138"/>
      <c r="C697" s="138"/>
      <c r="D697" s="138"/>
      <c r="E697" s="138"/>
      <c r="F697" s="138"/>
      <c r="G697" s="138"/>
      <c r="H697" s="138"/>
      <c r="I697" s="138"/>
      <c r="T697" s="31"/>
    </row>
    <row r="698">
      <c r="A698" s="138"/>
      <c r="B698" s="138"/>
      <c r="C698" s="138"/>
      <c r="D698" s="138"/>
      <c r="E698" s="138"/>
      <c r="F698" s="138"/>
      <c r="G698" s="138"/>
      <c r="H698" s="138"/>
      <c r="I698" s="138"/>
      <c r="T698" s="31"/>
    </row>
    <row r="699">
      <c r="A699" s="138"/>
      <c r="B699" s="138"/>
      <c r="C699" s="138"/>
      <c r="D699" s="138"/>
      <c r="E699" s="138"/>
      <c r="F699" s="138"/>
      <c r="G699" s="138"/>
      <c r="H699" s="138"/>
      <c r="I699" s="138"/>
      <c r="T699" s="31"/>
    </row>
    <row r="700">
      <c r="A700" s="138"/>
      <c r="B700" s="138"/>
      <c r="C700" s="138"/>
      <c r="D700" s="138"/>
      <c r="E700" s="138"/>
      <c r="F700" s="138"/>
      <c r="G700" s="138"/>
      <c r="H700" s="138"/>
      <c r="I700" s="138"/>
      <c r="T700" s="31"/>
    </row>
    <row r="701">
      <c r="A701" s="138"/>
      <c r="B701" s="138"/>
      <c r="C701" s="138"/>
      <c r="D701" s="138"/>
      <c r="E701" s="138"/>
      <c r="F701" s="138"/>
      <c r="G701" s="138"/>
      <c r="H701" s="138"/>
      <c r="I701" s="138"/>
      <c r="T701" s="31"/>
    </row>
    <row r="702">
      <c r="A702" s="138"/>
      <c r="B702" s="138"/>
      <c r="C702" s="138"/>
      <c r="D702" s="138"/>
      <c r="E702" s="138"/>
      <c r="F702" s="138"/>
      <c r="G702" s="138"/>
      <c r="H702" s="138"/>
      <c r="I702" s="138"/>
      <c r="T702" s="31"/>
    </row>
    <row r="703">
      <c r="A703" s="138"/>
      <c r="B703" s="138"/>
      <c r="C703" s="138"/>
      <c r="D703" s="138"/>
      <c r="E703" s="138"/>
      <c r="F703" s="138"/>
      <c r="G703" s="138"/>
      <c r="H703" s="138"/>
      <c r="I703" s="138"/>
      <c r="T703" s="31"/>
    </row>
    <row r="704">
      <c r="A704" s="138"/>
      <c r="B704" s="138"/>
      <c r="C704" s="138"/>
      <c r="D704" s="138"/>
      <c r="E704" s="138"/>
      <c r="F704" s="138"/>
      <c r="G704" s="138"/>
      <c r="H704" s="138"/>
      <c r="I704" s="138"/>
      <c r="T704" s="31"/>
    </row>
    <row r="705">
      <c r="A705" s="138"/>
      <c r="B705" s="138"/>
      <c r="C705" s="138"/>
      <c r="D705" s="138"/>
      <c r="E705" s="138"/>
      <c r="F705" s="138"/>
      <c r="G705" s="138"/>
      <c r="H705" s="138"/>
      <c r="I705" s="138"/>
      <c r="T705" s="31"/>
    </row>
    <row r="706">
      <c r="A706" s="138"/>
      <c r="B706" s="138"/>
      <c r="C706" s="138"/>
      <c r="D706" s="138"/>
      <c r="E706" s="138"/>
      <c r="F706" s="138"/>
      <c r="G706" s="138"/>
      <c r="H706" s="138"/>
      <c r="I706" s="138"/>
      <c r="T706" s="31"/>
    </row>
    <row r="707">
      <c r="A707" s="138"/>
      <c r="B707" s="138"/>
      <c r="C707" s="138"/>
      <c r="D707" s="138"/>
      <c r="E707" s="138"/>
      <c r="F707" s="138"/>
      <c r="G707" s="138"/>
      <c r="H707" s="138"/>
      <c r="I707" s="138"/>
      <c r="T707" s="31"/>
    </row>
    <row r="708">
      <c r="A708" s="138"/>
      <c r="B708" s="138"/>
      <c r="C708" s="138"/>
      <c r="D708" s="138"/>
      <c r="E708" s="138"/>
      <c r="F708" s="138"/>
      <c r="G708" s="138"/>
      <c r="H708" s="138"/>
      <c r="I708" s="138"/>
      <c r="T708" s="31"/>
    </row>
    <row r="709">
      <c r="A709" s="138"/>
      <c r="B709" s="138"/>
      <c r="C709" s="138"/>
      <c r="D709" s="138"/>
      <c r="E709" s="138"/>
      <c r="F709" s="138"/>
      <c r="G709" s="138"/>
      <c r="H709" s="138"/>
      <c r="I709" s="138"/>
      <c r="T709" s="31"/>
    </row>
    <row r="710">
      <c r="A710" s="138"/>
      <c r="B710" s="138"/>
      <c r="C710" s="138"/>
      <c r="D710" s="138"/>
      <c r="E710" s="138"/>
      <c r="F710" s="138"/>
      <c r="G710" s="138"/>
      <c r="H710" s="138"/>
      <c r="I710" s="138"/>
      <c r="T710" s="31"/>
    </row>
    <row r="711">
      <c r="A711" s="138"/>
      <c r="B711" s="138"/>
      <c r="C711" s="138"/>
      <c r="D711" s="138"/>
      <c r="E711" s="138"/>
      <c r="F711" s="138"/>
      <c r="G711" s="138"/>
      <c r="H711" s="138"/>
      <c r="I711" s="138"/>
      <c r="T711" s="31"/>
    </row>
    <row r="712">
      <c r="A712" s="138"/>
      <c r="B712" s="138"/>
      <c r="C712" s="138"/>
      <c r="D712" s="138"/>
      <c r="E712" s="138"/>
      <c r="F712" s="138"/>
      <c r="G712" s="138"/>
      <c r="H712" s="138"/>
      <c r="I712" s="138"/>
      <c r="T712" s="31"/>
    </row>
    <row r="713">
      <c r="A713" s="138"/>
      <c r="B713" s="138"/>
      <c r="C713" s="138"/>
      <c r="D713" s="138"/>
      <c r="E713" s="138"/>
      <c r="F713" s="138"/>
      <c r="G713" s="138"/>
      <c r="H713" s="138"/>
      <c r="I713" s="138"/>
      <c r="T713" s="31"/>
    </row>
    <row r="714">
      <c r="A714" s="138"/>
      <c r="B714" s="138"/>
      <c r="C714" s="138"/>
      <c r="D714" s="138"/>
      <c r="E714" s="138"/>
      <c r="F714" s="138"/>
      <c r="G714" s="138"/>
      <c r="H714" s="138"/>
      <c r="I714" s="138"/>
      <c r="T714" s="31"/>
    </row>
    <row r="715">
      <c r="A715" s="138"/>
      <c r="B715" s="138"/>
      <c r="C715" s="138"/>
      <c r="D715" s="138"/>
      <c r="E715" s="138"/>
      <c r="F715" s="138"/>
      <c r="G715" s="138"/>
      <c r="H715" s="138"/>
      <c r="I715" s="138"/>
      <c r="T715" s="31"/>
    </row>
    <row r="716">
      <c r="A716" s="138"/>
      <c r="B716" s="138"/>
      <c r="C716" s="138"/>
      <c r="D716" s="138"/>
      <c r="E716" s="138"/>
      <c r="F716" s="138"/>
      <c r="G716" s="138"/>
      <c r="H716" s="138"/>
      <c r="I716" s="138"/>
      <c r="T716" s="31"/>
    </row>
    <row r="717">
      <c r="A717" s="138"/>
      <c r="B717" s="138"/>
      <c r="C717" s="138"/>
      <c r="D717" s="138"/>
      <c r="E717" s="138"/>
      <c r="F717" s="138"/>
      <c r="G717" s="138"/>
      <c r="H717" s="138"/>
      <c r="I717" s="138"/>
      <c r="T717" s="31"/>
    </row>
    <row r="718">
      <c r="A718" s="138"/>
      <c r="B718" s="138"/>
      <c r="C718" s="138"/>
      <c r="D718" s="138"/>
      <c r="E718" s="138"/>
      <c r="F718" s="138"/>
      <c r="G718" s="138"/>
      <c r="H718" s="138"/>
      <c r="I718" s="138"/>
      <c r="T718" s="31"/>
    </row>
    <row r="719">
      <c r="A719" s="138"/>
      <c r="B719" s="138"/>
      <c r="C719" s="138"/>
      <c r="D719" s="138"/>
      <c r="E719" s="138"/>
      <c r="F719" s="138"/>
      <c r="G719" s="138"/>
      <c r="H719" s="138"/>
      <c r="I719" s="138"/>
      <c r="T719" s="31"/>
    </row>
    <row r="720">
      <c r="A720" s="138"/>
      <c r="B720" s="138"/>
      <c r="C720" s="138"/>
      <c r="D720" s="138"/>
      <c r="E720" s="138"/>
      <c r="F720" s="138"/>
      <c r="G720" s="138"/>
      <c r="H720" s="138"/>
      <c r="I720" s="138"/>
      <c r="T720" s="31"/>
    </row>
    <row r="721">
      <c r="A721" s="138"/>
      <c r="B721" s="138"/>
      <c r="C721" s="138"/>
      <c r="D721" s="138"/>
      <c r="E721" s="138"/>
      <c r="F721" s="138"/>
      <c r="G721" s="138"/>
      <c r="H721" s="138"/>
      <c r="I721" s="138"/>
      <c r="T721" s="31"/>
    </row>
    <row r="722">
      <c r="A722" s="138"/>
      <c r="B722" s="138"/>
      <c r="C722" s="138"/>
      <c r="D722" s="138"/>
      <c r="E722" s="138"/>
      <c r="F722" s="138"/>
      <c r="G722" s="138"/>
      <c r="H722" s="138"/>
      <c r="I722" s="138"/>
      <c r="T722" s="31"/>
    </row>
    <row r="723">
      <c r="A723" s="138"/>
      <c r="B723" s="138"/>
      <c r="C723" s="138"/>
      <c r="D723" s="138"/>
      <c r="E723" s="138"/>
      <c r="F723" s="138"/>
      <c r="G723" s="138"/>
      <c r="H723" s="138"/>
      <c r="I723" s="138"/>
      <c r="T723" s="31"/>
    </row>
    <row r="724">
      <c r="A724" s="138"/>
      <c r="B724" s="138"/>
      <c r="C724" s="138"/>
      <c r="D724" s="138"/>
      <c r="E724" s="138"/>
      <c r="F724" s="138"/>
      <c r="G724" s="138"/>
      <c r="H724" s="138"/>
      <c r="I724" s="138"/>
      <c r="T724" s="31"/>
    </row>
    <row r="725">
      <c r="A725" s="138"/>
      <c r="B725" s="138"/>
      <c r="C725" s="138"/>
      <c r="D725" s="138"/>
      <c r="E725" s="138"/>
      <c r="F725" s="138"/>
      <c r="G725" s="138"/>
      <c r="H725" s="138"/>
      <c r="I725" s="138"/>
      <c r="T725" s="31"/>
    </row>
    <row r="726">
      <c r="A726" s="138"/>
      <c r="B726" s="138"/>
      <c r="C726" s="138"/>
      <c r="D726" s="138"/>
      <c r="E726" s="138"/>
      <c r="F726" s="138"/>
      <c r="G726" s="138"/>
      <c r="H726" s="138"/>
      <c r="I726" s="138"/>
      <c r="T726" s="31"/>
    </row>
    <row r="727">
      <c r="A727" s="138"/>
      <c r="B727" s="138"/>
      <c r="C727" s="138"/>
      <c r="D727" s="138"/>
      <c r="E727" s="138"/>
      <c r="F727" s="138"/>
      <c r="G727" s="138"/>
      <c r="H727" s="138"/>
      <c r="I727" s="138"/>
      <c r="T727" s="31"/>
    </row>
    <row r="728">
      <c r="A728" s="138"/>
      <c r="B728" s="138"/>
      <c r="C728" s="138"/>
      <c r="D728" s="138"/>
      <c r="E728" s="138"/>
      <c r="F728" s="138"/>
      <c r="G728" s="138"/>
      <c r="H728" s="138"/>
      <c r="I728" s="138"/>
      <c r="T728" s="31"/>
    </row>
    <row r="729">
      <c r="A729" s="138"/>
      <c r="B729" s="138"/>
      <c r="C729" s="138"/>
      <c r="D729" s="138"/>
      <c r="E729" s="138"/>
      <c r="F729" s="138"/>
      <c r="G729" s="138"/>
      <c r="H729" s="138"/>
      <c r="I729" s="138"/>
      <c r="T729" s="31"/>
    </row>
    <row r="730">
      <c r="A730" s="138"/>
      <c r="B730" s="138"/>
      <c r="C730" s="138"/>
      <c r="D730" s="138"/>
      <c r="E730" s="138"/>
      <c r="F730" s="138"/>
      <c r="G730" s="138"/>
      <c r="H730" s="138"/>
      <c r="I730" s="138"/>
      <c r="T730" s="31"/>
    </row>
    <row r="731">
      <c r="A731" s="138"/>
      <c r="B731" s="138"/>
      <c r="C731" s="138"/>
      <c r="D731" s="138"/>
      <c r="E731" s="138"/>
      <c r="F731" s="138"/>
      <c r="G731" s="138"/>
      <c r="H731" s="138"/>
      <c r="I731" s="138"/>
      <c r="T731" s="31"/>
    </row>
    <row r="732">
      <c r="A732" s="138"/>
      <c r="B732" s="138"/>
      <c r="C732" s="138"/>
      <c r="D732" s="138"/>
      <c r="E732" s="138"/>
      <c r="F732" s="138"/>
      <c r="G732" s="138"/>
      <c r="H732" s="138"/>
      <c r="I732" s="138"/>
      <c r="T732" s="31"/>
    </row>
    <row r="733">
      <c r="A733" s="138"/>
      <c r="B733" s="138"/>
      <c r="C733" s="138"/>
      <c r="D733" s="138"/>
      <c r="E733" s="138"/>
      <c r="F733" s="138"/>
      <c r="G733" s="138"/>
      <c r="H733" s="138"/>
      <c r="I733" s="138"/>
      <c r="T733" s="31"/>
    </row>
    <row r="734">
      <c r="A734" s="138"/>
      <c r="B734" s="138"/>
      <c r="C734" s="138"/>
      <c r="D734" s="138"/>
      <c r="E734" s="138"/>
      <c r="F734" s="138"/>
      <c r="G734" s="138"/>
      <c r="H734" s="138"/>
      <c r="I734" s="138"/>
      <c r="T734" s="31"/>
    </row>
    <row r="735">
      <c r="A735" s="138"/>
      <c r="B735" s="138"/>
      <c r="C735" s="138"/>
      <c r="D735" s="138"/>
      <c r="E735" s="138"/>
      <c r="F735" s="138"/>
      <c r="G735" s="138"/>
      <c r="H735" s="138"/>
      <c r="I735" s="138"/>
      <c r="T735" s="31"/>
    </row>
    <row r="736">
      <c r="A736" s="138"/>
      <c r="B736" s="138"/>
      <c r="C736" s="138"/>
      <c r="D736" s="138"/>
      <c r="E736" s="138"/>
      <c r="F736" s="138"/>
      <c r="G736" s="138"/>
      <c r="H736" s="138"/>
      <c r="I736" s="138"/>
      <c r="T736" s="31"/>
    </row>
    <row r="737">
      <c r="A737" s="138"/>
      <c r="B737" s="138"/>
      <c r="C737" s="138"/>
      <c r="D737" s="138"/>
      <c r="E737" s="138"/>
      <c r="F737" s="138"/>
      <c r="G737" s="138"/>
      <c r="H737" s="138"/>
      <c r="I737" s="138"/>
      <c r="T737" s="31"/>
    </row>
    <row r="738">
      <c r="A738" s="138"/>
      <c r="B738" s="138"/>
      <c r="C738" s="138"/>
      <c r="D738" s="138"/>
      <c r="E738" s="138"/>
      <c r="F738" s="138"/>
      <c r="G738" s="138"/>
      <c r="H738" s="138"/>
      <c r="I738" s="138"/>
      <c r="T738" s="31"/>
    </row>
    <row r="739">
      <c r="A739" s="138"/>
      <c r="B739" s="138"/>
      <c r="C739" s="138"/>
      <c r="D739" s="138"/>
      <c r="E739" s="138"/>
      <c r="F739" s="138"/>
      <c r="G739" s="138"/>
      <c r="H739" s="138"/>
      <c r="I739" s="138"/>
      <c r="T739" s="31"/>
    </row>
    <row r="740">
      <c r="A740" s="138"/>
      <c r="B740" s="138"/>
      <c r="C740" s="138"/>
      <c r="D740" s="138"/>
      <c r="E740" s="138"/>
      <c r="F740" s="138"/>
      <c r="G740" s="138"/>
      <c r="H740" s="138"/>
      <c r="I740" s="138"/>
      <c r="T740" s="31"/>
    </row>
    <row r="741">
      <c r="A741" s="138"/>
      <c r="B741" s="138"/>
      <c r="C741" s="138"/>
      <c r="D741" s="138"/>
      <c r="E741" s="138"/>
      <c r="F741" s="138"/>
      <c r="G741" s="138"/>
      <c r="H741" s="138"/>
      <c r="I741" s="138"/>
      <c r="T741" s="31"/>
    </row>
    <row r="742">
      <c r="A742" s="138"/>
      <c r="B742" s="138"/>
      <c r="C742" s="138"/>
      <c r="D742" s="138"/>
      <c r="E742" s="138"/>
      <c r="F742" s="138"/>
      <c r="G742" s="138"/>
      <c r="H742" s="138"/>
      <c r="I742" s="138"/>
      <c r="T742" s="31"/>
    </row>
    <row r="743">
      <c r="A743" s="138"/>
      <c r="B743" s="138"/>
      <c r="C743" s="138"/>
      <c r="D743" s="138"/>
      <c r="E743" s="138"/>
      <c r="F743" s="138"/>
      <c r="G743" s="138"/>
      <c r="H743" s="138"/>
      <c r="I743" s="138"/>
      <c r="T743" s="31"/>
    </row>
    <row r="744">
      <c r="A744" s="138"/>
      <c r="B744" s="138"/>
      <c r="C744" s="138"/>
      <c r="D744" s="138"/>
      <c r="E744" s="138"/>
      <c r="F744" s="138"/>
      <c r="G744" s="138"/>
      <c r="H744" s="138"/>
      <c r="I744" s="138"/>
      <c r="T744" s="31"/>
    </row>
    <row r="745">
      <c r="A745" s="138"/>
      <c r="B745" s="138"/>
      <c r="C745" s="138"/>
      <c r="D745" s="138"/>
      <c r="E745" s="138"/>
      <c r="F745" s="138"/>
      <c r="G745" s="138"/>
      <c r="H745" s="138"/>
      <c r="I745" s="138"/>
      <c r="T745" s="31"/>
    </row>
    <row r="746">
      <c r="A746" s="138"/>
      <c r="B746" s="138"/>
      <c r="C746" s="138"/>
      <c r="D746" s="138"/>
      <c r="E746" s="138"/>
      <c r="F746" s="138"/>
      <c r="G746" s="138"/>
      <c r="H746" s="138"/>
      <c r="I746" s="138"/>
      <c r="T746" s="31"/>
    </row>
    <row r="747">
      <c r="A747" s="138"/>
      <c r="B747" s="138"/>
      <c r="C747" s="138"/>
      <c r="D747" s="138"/>
      <c r="E747" s="138"/>
      <c r="F747" s="138"/>
      <c r="G747" s="138"/>
      <c r="H747" s="138"/>
      <c r="I747" s="138"/>
      <c r="T747" s="31"/>
    </row>
    <row r="748">
      <c r="A748" s="138"/>
      <c r="B748" s="138"/>
      <c r="C748" s="138"/>
      <c r="D748" s="138"/>
      <c r="E748" s="138"/>
      <c r="F748" s="138"/>
      <c r="G748" s="138"/>
      <c r="H748" s="138"/>
      <c r="I748" s="138"/>
      <c r="T748" s="31"/>
    </row>
    <row r="749">
      <c r="A749" s="138"/>
      <c r="B749" s="138"/>
      <c r="C749" s="138"/>
      <c r="D749" s="138"/>
      <c r="E749" s="138"/>
      <c r="F749" s="138"/>
      <c r="G749" s="138"/>
      <c r="H749" s="138"/>
      <c r="I749" s="138"/>
      <c r="T749" s="31"/>
    </row>
    <row r="750">
      <c r="A750" s="138"/>
      <c r="B750" s="138"/>
      <c r="C750" s="138"/>
      <c r="D750" s="138"/>
      <c r="E750" s="138"/>
      <c r="F750" s="138"/>
      <c r="G750" s="138"/>
      <c r="H750" s="138"/>
      <c r="I750" s="138"/>
      <c r="T750" s="31"/>
    </row>
    <row r="751">
      <c r="A751" s="138"/>
      <c r="B751" s="138"/>
      <c r="C751" s="138"/>
      <c r="D751" s="138"/>
      <c r="E751" s="138"/>
      <c r="F751" s="138"/>
      <c r="G751" s="138"/>
      <c r="H751" s="138"/>
      <c r="I751" s="138"/>
      <c r="T751" s="31"/>
    </row>
    <row r="752">
      <c r="A752" s="138"/>
      <c r="B752" s="138"/>
      <c r="C752" s="138"/>
      <c r="D752" s="138"/>
      <c r="E752" s="138"/>
      <c r="F752" s="138"/>
      <c r="G752" s="138"/>
      <c r="H752" s="138"/>
      <c r="I752" s="138"/>
      <c r="T752" s="31"/>
    </row>
    <row r="753">
      <c r="A753" s="138"/>
      <c r="B753" s="138"/>
      <c r="C753" s="138"/>
      <c r="D753" s="138"/>
      <c r="E753" s="138"/>
      <c r="F753" s="138"/>
      <c r="G753" s="138"/>
      <c r="H753" s="138"/>
      <c r="I753" s="138"/>
      <c r="T753" s="31"/>
    </row>
    <row r="754">
      <c r="A754" s="138"/>
      <c r="B754" s="138"/>
      <c r="C754" s="138"/>
      <c r="D754" s="138"/>
      <c r="E754" s="138"/>
      <c r="F754" s="138"/>
      <c r="G754" s="138"/>
      <c r="H754" s="138"/>
      <c r="I754" s="138"/>
      <c r="T754" s="31"/>
    </row>
    <row r="755">
      <c r="A755" s="138"/>
      <c r="B755" s="138"/>
      <c r="C755" s="138"/>
      <c r="D755" s="138"/>
      <c r="E755" s="138"/>
      <c r="F755" s="138"/>
      <c r="G755" s="138"/>
      <c r="H755" s="138"/>
      <c r="I755" s="138"/>
      <c r="T755" s="31"/>
    </row>
    <row r="756">
      <c r="A756" s="138"/>
      <c r="B756" s="138"/>
      <c r="C756" s="138"/>
      <c r="D756" s="138"/>
      <c r="E756" s="138"/>
      <c r="F756" s="138"/>
      <c r="G756" s="138"/>
      <c r="H756" s="138"/>
      <c r="I756" s="138"/>
      <c r="T756" s="31"/>
    </row>
    <row r="757">
      <c r="A757" s="138"/>
      <c r="B757" s="138"/>
      <c r="C757" s="138"/>
      <c r="D757" s="138"/>
      <c r="E757" s="138"/>
      <c r="F757" s="138"/>
      <c r="G757" s="138"/>
      <c r="H757" s="138"/>
      <c r="I757" s="138"/>
      <c r="T757" s="31"/>
    </row>
    <row r="758">
      <c r="A758" s="138"/>
      <c r="B758" s="138"/>
      <c r="C758" s="138"/>
      <c r="D758" s="138"/>
      <c r="E758" s="138"/>
      <c r="F758" s="138"/>
      <c r="G758" s="138"/>
      <c r="H758" s="138"/>
      <c r="I758" s="138"/>
      <c r="T758" s="31"/>
    </row>
    <row r="759">
      <c r="A759" s="138"/>
      <c r="B759" s="138"/>
      <c r="C759" s="138"/>
      <c r="D759" s="138"/>
      <c r="E759" s="138"/>
      <c r="F759" s="138"/>
      <c r="G759" s="138"/>
      <c r="H759" s="138"/>
      <c r="I759" s="138"/>
      <c r="T759" s="31"/>
    </row>
    <row r="760">
      <c r="A760" s="138"/>
      <c r="B760" s="138"/>
      <c r="C760" s="138"/>
      <c r="D760" s="138"/>
      <c r="E760" s="138"/>
      <c r="F760" s="138"/>
      <c r="G760" s="138"/>
      <c r="H760" s="138"/>
      <c r="I760" s="138"/>
      <c r="T760" s="31"/>
    </row>
    <row r="761">
      <c r="A761" s="138"/>
      <c r="B761" s="138"/>
      <c r="C761" s="138"/>
      <c r="D761" s="138"/>
      <c r="E761" s="138"/>
      <c r="F761" s="138"/>
      <c r="G761" s="138"/>
      <c r="H761" s="138"/>
      <c r="I761" s="138"/>
      <c r="T761" s="31"/>
    </row>
    <row r="762">
      <c r="A762" s="138"/>
      <c r="B762" s="138"/>
      <c r="C762" s="138"/>
      <c r="D762" s="138"/>
      <c r="E762" s="138"/>
      <c r="F762" s="138"/>
      <c r="G762" s="138"/>
      <c r="H762" s="138"/>
      <c r="I762" s="138"/>
      <c r="T762" s="31"/>
    </row>
    <row r="763">
      <c r="A763" s="138"/>
      <c r="B763" s="138"/>
      <c r="C763" s="138"/>
      <c r="D763" s="138"/>
      <c r="E763" s="138"/>
      <c r="F763" s="138"/>
      <c r="G763" s="138"/>
      <c r="H763" s="138"/>
      <c r="I763" s="138"/>
      <c r="T763" s="31"/>
    </row>
    <row r="764">
      <c r="A764" s="138"/>
      <c r="B764" s="138"/>
      <c r="C764" s="138"/>
      <c r="D764" s="138"/>
      <c r="E764" s="138"/>
      <c r="F764" s="138"/>
      <c r="G764" s="138"/>
      <c r="H764" s="138"/>
      <c r="I764" s="138"/>
      <c r="T764" s="31"/>
    </row>
    <row r="765">
      <c r="A765" s="138"/>
      <c r="B765" s="138"/>
      <c r="C765" s="138"/>
      <c r="D765" s="138"/>
      <c r="E765" s="138"/>
      <c r="F765" s="138"/>
      <c r="G765" s="138"/>
      <c r="H765" s="138"/>
      <c r="I765" s="138"/>
      <c r="T765" s="31"/>
    </row>
    <row r="766">
      <c r="A766" s="138"/>
      <c r="B766" s="138"/>
      <c r="C766" s="138"/>
      <c r="D766" s="138"/>
      <c r="E766" s="138"/>
      <c r="F766" s="138"/>
      <c r="G766" s="138"/>
      <c r="H766" s="138"/>
      <c r="I766" s="138"/>
      <c r="T766" s="31"/>
    </row>
    <row r="767">
      <c r="A767" s="138"/>
      <c r="B767" s="138"/>
      <c r="C767" s="138"/>
      <c r="D767" s="138"/>
      <c r="E767" s="138"/>
      <c r="F767" s="138"/>
      <c r="G767" s="138"/>
      <c r="H767" s="138"/>
      <c r="I767" s="138"/>
      <c r="T767" s="31"/>
    </row>
    <row r="768">
      <c r="A768" s="138"/>
      <c r="B768" s="138"/>
      <c r="C768" s="138"/>
      <c r="D768" s="138"/>
      <c r="E768" s="138"/>
      <c r="F768" s="138"/>
      <c r="G768" s="138"/>
      <c r="H768" s="138"/>
      <c r="I768" s="138"/>
      <c r="T768" s="31"/>
    </row>
    <row r="769">
      <c r="A769" s="138"/>
      <c r="B769" s="138"/>
      <c r="C769" s="138"/>
      <c r="D769" s="138"/>
      <c r="E769" s="138"/>
      <c r="F769" s="138"/>
      <c r="G769" s="138"/>
      <c r="H769" s="138"/>
      <c r="I769" s="138"/>
      <c r="T769" s="31"/>
    </row>
    <row r="770">
      <c r="A770" s="138"/>
      <c r="B770" s="138"/>
      <c r="C770" s="138"/>
      <c r="D770" s="138"/>
      <c r="E770" s="138"/>
      <c r="F770" s="138"/>
      <c r="G770" s="138"/>
      <c r="H770" s="138"/>
      <c r="I770" s="138"/>
      <c r="T770" s="31"/>
    </row>
    <row r="771">
      <c r="A771" s="138"/>
      <c r="B771" s="138"/>
      <c r="C771" s="138"/>
      <c r="D771" s="138"/>
      <c r="E771" s="138"/>
      <c r="F771" s="138"/>
      <c r="G771" s="138"/>
      <c r="H771" s="138"/>
      <c r="I771" s="138"/>
      <c r="T771" s="31"/>
    </row>
    <row r="772">
      <c r="A772" s="138"/>
      <c r="B772" s="138"/>
      <c r="C772" s="138"/>
      <c r="D772" s="138"/>
      <c r="E772" s="138"/>
      <c r="F772" s="138"/>
      <c r="G772" s="138"/>
      <c r="H772" s="138"/>
      <c r="I772" s="138"/>
      <c r="T772" s="31"/>
    </row>
    <row r="773">
      <c r="A773" s="138"/>
      <c r="B773" s="138"/>
      <c r="C773" s="138"/>
      <c r="D773" s="138"/>
      <c r="E773" s="138"/>
      <c r="F773" s="138"/>
      <c r="G773" s="138"/>
      <c r="H773" s="138"/>
      <c r="I773" s="138"/>
      <c r="T773" s="31"/>
    </row>
    <row r="774">
      <c r="A774" s="138"/>
      <c r="B774" s="138"/>
      <c r="C774" s="138"/>
      <c r="D774" s="138"/>
      <c r="E774" s="138"/>
      <c r="F774" s="138"/>
      <c r="G774" s="138"/>
      <c r="H774" s="138"/>
      <c r="I774" s="138"/>
      <c r="T774" s="31"/>
    </row>
    <row r="775">
      <c r="A775" s="138"/>
      <c r="B775" s="138"/>
      <c r="C775" s="138"/>
      <c r="D775" s="138"/>
      <c r="E775" s="138"/>
      <c r="F775" s="138"/>
      <c r="G775" s="138"/>
      <c r="H775" s="138"/>
      <c r="I775" s="138"/>
      <c r="T775" s="31"/>
    </row>
    <row r="776">
      <c r="A776" s="138"/>
      <c r="B776" s="138"/>
      <c r="C776" s="138"/>
      <c r="D776" s="138"/>
      <c r="E776" s="138"/>
      <c r="F776" s="138"/>
      <c r="G776" s="138"/>
      <c r="H776" s="138"/>
      <c r="I776" s="138"/>
      <c r="T776" s="31"/>
    </row>
    <row r="777">
      <c r="A777" s="138"/>
      <c r="B777" s="138"/>
      <c r="C777" s="138"/>
      <c r="D777" s="138"/>
      <c r="E777" s="138"/>
      <c r="F777" s="138"/>
      <c r="G777" s="138"/>
      <c r="H777" s="138"/>
      <c r="I777" s="138"/>
      <c r="T777" s="31"/>
    </row>
    <row r="778">
      <c r="A778" s="138"/>
      <c r="B778" s="138"/>
      <c r="C778" s="138"/>
      <c r="D778" s="138"/>
      <c r="E778" s="138"/>
      <c r="F778" s="138"/>
      <c r="G778" s="138"/>
      <c r="H778" s="138"/>
      <c r="I778" s="138"/>
      <c r="T778" s="31"/>
    </row>
    <row r="779">
      <c r="A779" s="138"/>
      <c r="B779" s="138"/>
      <c r="C779" s="138"/>
      <c r="D779" s="138"/>
      <c r="E779" s="138"/>
      <c r="F779" s="138"/>
      <c r="G779" s="138"/>
      <c r="H779" s="138"/>
      <c r="I779" s="138"/>
      <c r="T779" s="31"/>
    </row>
    <row r="780">
      <c r="A780" s="138"/>
      <c r="B780" s="138"/>
      <c r="C780" s="138"/>
      <c r="D780" s="138"/>
      <c r="E780" s="138"/>
      <c r="F780" s="138"/>
      <c r="G780" s="138"/>
      <c r="H780" s="138"/>
      <c r="I780" s="138"/>
      <c r="T780" s="31"/>
    </row>
    <row r="781">
      <c r="A781" s="138"/>
      <c r="B781" s="138"/>
      <c r="C781" s="138"/>
      <c r="D781" s="138"/>
      <c r="E781" s="138"/>
      <c r="F781" s="138"/>
      <c r="G781" s="138"/>
      <c r="H781" s="138"/>
      <c r="I781" s="138"/>
      <c r="T781" s="31"/>
    </row>
    <row r="782">
      <c r="A782" s="138"/>
      <c r="B782" s="138"/>
      <c r="C782" s="138"/>
      <c r="D782" s="138"/>
      <c r="E782" s="138"/>
      <c r="F782" s="138"/>
      <c r="G782" s="138"/>
      <c r="H782" s="138"/>
      <c r="I782" s="138"/>
      <c r="T782" s="31"/>
    </row>
    <row r="783">
      <c r="A783" s="138"/>
      <c r="B783" s="138"/>
      <c r="C783" s="138"/>
      <c r="D783" s="138"/>
      <c r="E783" s="138"/>
      <c r="F783" s="138"/>
      <c r="G783" s="138"/>
      <c r="H783" s="138"/>
      <c r="I783" s="138"/>
      <c r="T783" s="31"/>
    </row>
    <row r="784">
      <c r="A784" s="138"/>
      <c r="B784" s="138"/>
      <c r="C784" s="138"/>
      <c r="D784" s="138"/>
      <c r="E784" s="138"/>
      <c r="F784" s="138"/>
      <c r="G784" s="138"/>
      <c r="H784" s="138"/>
      <c r="I784" s="138"/>
      <c r="T784" s="31"/>
    </row>
    <row r="785">
      <c r="A785" s="138"/>
      <c r="B785" s="138"/>
      <c r="C785" s="138"/>
      <c r="D785" s="138"/>
      <c r="E785" s="138"/>
      <c r="F785" s="138"/>
      <c r="G785" s="138"/>
      <c r="H785" s="138"/>
      <c r="I785" s="138"/>
      <c r="T785" s="31"/>
    </row>
    <row r="786">
      <c r="A786" s="138"/>
      <c r="B786" s="138"/>
      <c r="C786" s="138"/>
      <c r="D786" s="138"/>
      <c r="E786" s="138"/>
      <c r="F786" s="138"/>
      <c r="G786" s="138"/>
      <c r="H786" s="138"/>
      <c r="I786" s="138"/>
      <c r="T786" s="31"/>
    </row>
    <row r="787">
      <c r="A787" s="138"/>
      <c r="B787" s="138"/>
      <c r="C787" s="138"/>
      <c r="D787" s="138"/>
      <c r="E787" s="138"/>
      <c r="F787" s="138"/>
      <c r="G787" s="138"/>
      <c r="H787" s="138"/>
      <c r="I787" s="138"/>
      <c r="T787" s="31"/>
    </row>
    <row r="788">
      <c r="A788" s="138"/>
      <c r="B788" s="138"/>
      <c r="C788" s="138"/>
      <c r="D788" s="138"/>
      <c r="E788" s="138"/>
      <c r="F788" s="138"/>
      <c r="G788" s="138"/>
      <c r="H788" s="138"/>
      <c r="I788" s="138"/>
      <c r="T788" s="31"/>
    </row>
    <row r="789">
      <c r="A789" s="138"/>
      <c r="B789" s="138"/>
      <c r="C789" s="138"/>
      <c r="D789" s="138"/>
      <c r="E789" s="138"/>
      <c r="F789" s="138"/>
      <c r="G789" s="138"/>
      <c r="H789" s="138"/>
      <c r="I789" s="138"/>
      <c r="T789" s="31"/>
    </row>
    <row r="790">
      <c r="A790" s="138"/>
      <c r="B790" s="138"/>
      <c r="C790" s="138"/>
      <c r="D790" s="138"/>
      <c r="E790" s="138"/>
      <c r="F790" s="138"/>
      <c r="G790" s="138"/>
      <c r="H790" s="138"/>
      <c r="I790" s="138"/>
      <c r="T790" s="31"/>
    </row>
    <row r="791">
      <c r="A791" s="138"/>
      <c r="B791" s="138"/>
      <c r="C791" s="138"/>
      <c r="D791" s="138"/>
      <c r="E791" s="138"/>
      <c r="F791" s="138"/>
      <c r="G791" s="138"/>
      <c r="H791" s="138"/>
      <c r="I791" s="138"/>
      <c r="T791" s="31"/>
    </row>
    <row r="792">
      <c r="A792" s="138"/>
      <c r="B792" s="138"/>
      <c r="C792" s="138"/>
      <c r="D792" s="138"/>
      <c r="E792" s="138"/>
      <c r="F792" s="138"/>
      <c r="G792" s="138"/>
      <c r="H792" s="138"/>
      <c r="I792" s="138"/>
      <c r="T792" s="31"/>
    </row>
    <row r="793">
      <c r="A793" s="138"/>
      <c r="B793" s="138"/>
      <c r="C793" s="138"/>
      <c r="D793" s="138"/>
      <c r="E793" s="138"/>
      <c r="F793" s="138"/>
      <c r="G793" s="138"/>
      <c r="H793" s="138"/>
      <c r="I793" s="138"/>
      <c r="T793" s="31"/>
    </row>
    <row r="794">
      <c r="A794" s="138"/>
      <c r="B794" s="138"/>
      <c r="C794" s="138"/>
      <c r="D794" s="138"/>
      <c r="E794" s="138"/>
      <c r="F794" s="138"/>
      <c r="G794" s="138"/>
      <c r="H794" s="138"/>
      <c r="I794" s="138"/>
      <c r="T794" s="31"/>
    </row>
    <row r="795">
      <c r="A795" s="138"/>
      <c r="B795" s="138"/>
      <c r="C795" s="138"/>
      <c r="D795" s="138"/>
      <c r="E795" s="138"/>
      <c r="F795" s="138"/>
      <c r="G795" s="138"/>
      <c r="H795" s="138"/>
      <c r="I795" s="138"/>
      <c r="T795" s="31"/>
    </row>
    <row r="796">
      <c r="A796" s="138"/>
      <c r="B796" s="138"/>
      <c r="C796" s="138"/>
      <c r="D796" s="138"/>
      <c r="E796" s="138"/>
      <c r="F796" s="138"/>
      <c r="G796" s="138"/>
      <c r="H796" s="138"/>
      <c r="I796" s="138"/>
      <c r="T796" s="31"/>
    </row>
    <row r="797">
      <c r="A797" s="138"/>
      <c r="B797" s="138"/>
      <c r="C797" s="138"/>
      <c r="D797" s="138"/>
      <c r="E797" s="138"/>
      <c r="F797" s="138"/>
      <c r="G797" s="138"/>
      <c r="H797" s="138"/>
      <c r="I797" s="138"/>
      <c r="T797" s="31"/>
    </row>
    <row r="798">
      <c r="A798" s="138"/>
      <c r="B798" s="138"/>
      <c r="C798" s="138"/>
      <c r="D798" s="138"/>
      <c r="E798" s="138"/>
      <c r="F798" s="138"/>
      <c r="G798" s="138"/>
      <c r="H798" s="138"/>
      <c r="I798" s="138"/>
      <c r="T798" s="31"/>
    </row>
    <row r="799">
      <c r="A799" s="138"/>
      <c r="B799" s="138"/>
      <c r="C799" s="138"/>
      <c r="D799" s="138"/>
      <c r="E799" s="138"/>
      <c r="F799" s="138"/>
      <c r="G799" s="138"/>
      <c r="H799" s="138"/>
      <c r="I799" s="138"/>
      <c r="T799" s="31"/>
    </row>
    <row r="800">
      <c r="A800" s="138"/>
      <c r="B800" s="138"/>
      <c r="C800" s="138"/>
      <c r="D800" s="138"/>
      <c r="E800" s="138"/>
      <c r="F800" s="138"/>
      <c r="G800" s="138"/>
      <c r="H800" s="138"/>
      <c r="I800" s="138"/>
      <c r="T800" s="31"/>
    </row>
    <row r="801">
      <c r="A801" s="138"/>
      <c r="B801" s="138"/>
      <c r="C801" s="138"/>
      <c r="D801" s="138"/>
      <c r="E801" s="138"/>
      <c r="F801" s="138"/>
      <c r="G801" s="138"/>
      <c r="H801" s="138"/>
      <c r="I801" s="138"/>
      <c r="T801" s="31"/>
    </row>
    <row r="802">
      <c r="A802" s="138"/>
      <c r="B802" s="138"/>
      <c r="C802" s="138"/>
      <c r="D802" s="138"/>
      <c r="E802" s="138"/>
      <c r="F802" s="138"/>
      <c r="G802" s="138"/>
      <c r="H802" s="138"/>
      <c r="I802" s="138"/>
      <c r="T802" s="31"/>
    </row>
    <row r="803">
      <c r="A803" s="138"/>
      <c r="B803" s="138"/>
      <c r="C803" s="138"/>
      <c r="D803" s="138"/>
      <c r="E803" s="138"/>
      <c r="F803" s="138"/>
      <c r="G803" s="138"/>
      <c r="H803" s="138"/>
      <c r="I803" s="138"/>
      <c r="T803" s="31"/>
    </row>
    <row r="804">
      <c r="A804" s="138"/>
      <c r="B804" s="138"/>
      <c r="C804" s="138"/>
      <c r="D804" s="138"/>
      <c r="E804" s="138"/>
      <c r="F804" s="138"/>
      <c r="G804" s="138"/>
      <c r="H804" s="138"/>
      <c r="I804" s="138"/>
      <c r="T804" s="31"/>
    </row>
    <row r="805">
      <c r="A805" s="138"/>
      <c r="B805" s="138"/>
      <c r="C805" s="138"/>
      <c r="D805" s="138"/>
      <c r="E805" s="138"/>
      <c r="F805" s="138"/>
      <c r="G805" s="138"/>
      <c r="H805" s="138"/>
      <c r="I805" s="138"/>
      <c r="T805" s="31"/>
    </row>
    <row r="806">
      <c r="A806" s="138"/>
      <c r="B806" s="138"/>
      <c r="C806" s="138"/>
      <c r="D806" s="138"/>
      <c r="E806" s="138"/>
      <c r="F806" s="138"/>
      <c r="G806" s="138"/>
      <c r="H806" s="138"/>
      <c r="I806" s="138"/>
      <c r="T806" s="31"/>
    </row>
    <row r="807">
      <c r="A807" s="138"/>
      <c r="B807" s="138"/>
      <c r="C807" s="138"/>
      <c r="D807" s="138"/>
      <c r="E807" s="138"/>
      <c r="F807" s="138"/>
      <c r="G807" s="138"/>
      <c r="H807" s="138"/>
      <c r="I807" s="138"/>
      <c r="T807" s="31"/>
    </row>
    <row r="808">
      <c r="A808" s="138"/>
      <c r="B808" s="138"/>
      <c r="C808" s="138"/>
      <c r="D808" s="138"/>
      <c r="E808" s="138"/>
      <c r="F808" s="138"/>
      <c r="G808" s="138"/>
      <c r="H808" s="138"/>
      <c r="I808" s="138"/>
      <c r="T808" s="31"/>
    </row>
    <row r="809">
      <c r="A809" s="138"/>
      <c r="B809" s="138"/>
      <c r="C809" s="138"/>
      <c r="D809" s="138"/>
      <c r="E809" s="138"/>
      <c r="F809" s="138"/>
      <c r="G809" s="138"/>
      <c r="H809" s="138"/>
      <c r="I809" s="138"/>
      <c r="T809" s="31"/>
    </row>
    <row r="810">
      <c r="A810" s="138"/>
      <c r="B810" s="138"/>
      <c r="C810" s="138"/>
      <c r="D810" s="138"/>
      <c r="E810" s="138"/>
      <c r="F810" s="138"/>
      <c r="G810" s="138"/>
      <c r="H810" s="138"/>
      <c r="I810" s="138"/>
      <c r="T810" s="31"/>
    </row>
    <row r="811">
      <c r="A811" s="138"/>
      <c r="B811" s="138"/>
      <c r="C811" s="138"/>
      <c r="D811" s="138"/>
      <c r="E811" s="138"/>
      <c r="F811" s="138"/>
      <c r="G811" s="138"/>
      <c r="H811" s="138"/>
      <c r="I811" s="138"/>
      <c r="T811" s="31"/>
    </row>
    <row r="812">
      <c r="A812" s="138"/>
      <c r="B812" s="138"/>
      <c r="C812" s="138"/>
      <c r="D812" s="138"/>
      <c r="E812" s="138"/>
      <c r="F812" s="138"/>
      <c r="G812" s="138"/>
      <c r="H812" s="138"/>
      <c r="I812" s="138"/>
      <c r="T812" s="31"/>
    </row>
    <row r="813">
      <c r="A813" s="138"/>
      <c r="B813" s="138"/>
      <c r="C813" s="138"/>
      <c r="D813" s="138"/>
      <c r="E813" s="138"/>
      <c r="F813" s="138"/>
      <c r="G813" s="138"/>
      <c r="H813" s="138"/>
      <c r="I813" s="138"/>
      <c r="T813" s="31"/>
    </row>
    <row r="814">
      <c r="A814" s="138"/>
      <c r="B814" s="138"/>
      <c r="C814" s="138"/>
      <c r="D814" s="138"/>
      <c r="E814" s="138"/>
      <c r="F814" s="138"/>
      <c r="G814" s="138"/>
      <c r="H814" s="138"/>
      <c r="I814" s="138"/>
      <c r="T814" s="31"/>
    </row>
    <row r="815">
      <c r="A815" s="138"/>
      <c r="B815" s="138"/>
      <c r="C815" s="138"/>
      <c r="D815" s="138"/>
      <c r="E815" s="138"/>
      <c r="F815" s="138"/>
      <c r="G815" s="138"/>
      <c r="H815" s="138"/>
      <c r="I815" s="138"/>
      <c r="T815" s="31"/>
    </row>
    <row r="816">
      <c r="A816" s="138"/>
      <c r="B816" s="138"/>
      <c r="C816" s="138"/>
      <c r="D816" s="138"/>
      <c r="E816" s="138"/>
      <c r="F816" s="138"/>
      <c r="G816" s="138"/>
      <c r="H816" s="138"/>
      <c r="I816" s="138"/>
      <c r="T816" s="31"/>
    </row>
    <row r="817">
      <c r="A817" s="138"/>
      <c r="B817" s="138"/>
      <c r="C817" s="138"/>
      <c r="D817" s="138"/>
      <c r="E817" s="138"/>
      <c r="F817" s="138"/>
      <c r="G817" s="138"/>
      <c r="H817" s="138"/>
      <c r="I817" s="138"/>
      <c r="T817" s="31"/>
    </row>
    <row r="818">
      <c r="A818" s="138"/>
      <c r="B818" s="138"/>
      <c r="C818" s="138"/>
      <c r="D818" s="138"/>
      <c r="E818" s="138"/>
      <c r="F818" s="138"/>
      <c r="G818" s="138"/>
      <c r="H818" s="138"/>
      <c r="I818" s="138"/>
      <c r="T818" s="31"/>
    </row>
    <row r="819">
      <c r="A819" s="138"/>
      <c r="B819" s="138"/>
      <c r="C819" s="138"/>
      <c r="D819" s="138"/>
      <c r="E819" s="138"/>
      <c r="F819" s="138"/>
      <c r="G819" s="138"/>
      <c r="H819" s="138"/>
      <c r="I819" s="138"/>
      <c r="T819" s="31"/>
    </row>
    <row r="820">
      <c r="A820" s="138"/>
      <c r="B820" s="138"/>
      <c r="C820" s="138"/>
      <c r="D820" s="138"/>
      <c r="E820" s="138"/>
      <c r="F820" s="138"/>
      <c r="G820" s="138"/>
      <c r="H820" s="138"/>
      <c r="I820" s="138"/>
      <c r="T820" s="31"/>
    </row>
    <row r="821">
      <c r="A821" s="138"/>
      <c r="B821" s="138"/>
      <c r="C821" s="138"/>
      <c r="D821" s="138"/>
      <c r="E821" s="138"/>
      <c r="F821" s="138"/>
      <c r="G821" s="138"/>
      <c r="H821" s="138"/>
      <c r="I821" s="138"/>
      <c r="T821" s="31"/>
    </row>
    <row r="822">
      <c r="A822" s="138"/>
      <c r="B822" s="138"/>
      <c r="C822" s="138"/>
      <c r="D822" s="138"/>
      <c r="E822" s="138"/>
      <c r="F822" s="138"/>
      <c r="G822" s="138"/>
      <c r="H822" s="138"/>
      <c r="I822" s="138"/>
      <c r="T822" s="31"/>
    </row>
    <row r="823">
      <c r="A823" s="138"/>
      <c r="B823" s="138"/>
      <c r="C823" s="138"/>
      <c r="D823" s="138"/>
      <c r="E823" s="138"/>
      <c r="F823" s="138"/>
      <c r="G823" s="138"/>
      <c r="H823" s="138"/>
      <c r="I823" s="138"/>
      <c r="T823" s="31"/>
    </row>
    <row r="824">
      <c r="A824" s="138"/>
      <c r="B824" s="138"/>
      <c r="C824" s="138"/>
      <c r="D824" s="138"/>
      <c r="E824" s="138"/>
      <c r="F824" s="138"/>
      <c r="G824" s="138"/>
      <c r="H824" s="138"/>
      <c r="I824" s="138"/>
      <c r="T824" s="31"/>
    </row>
    <row r="825">
      <c r="A825" s="138"/>
      <c r="B825" s="138"/>
      <c r="C825" s="138"/>
      <c r="D825" s="138"/>
      <c r="E825" s="138"/>
      <c r="F825" s="138"/>
      <c r="G825" s="138"/>
      <c r="H825" s="138"/>
      <c r="I825" s="138"/>
      <c r="T825" s="31"/>
    </row>
    <row r="826">
      <c r="A826" s="138"/>
      <c r="B826" s="138"/>
      <c r="C826" s="138"/>
      <c r="D826" s="138"/>
      <c r="E826" s="138"/>
      <c r="F826" s="138"/>
      <c r="G826" s="138"/>
      <c r="H826" s="138"/>
      <c r="I826" s="138"/>
      <c r="T826" s="31"/>
    </row>
    <row r="827">
      <c r="A827" s="138"/>
      <c r="B827" s="138"/>
      <c r="C827" s="138"/>
      <c r="D827" s="138"/>
      <c r="E827" s="138"/>
      <c r="F827" s="138"/>
      <c r="G827" s="138"/>
      <c r="H827" s="138"/>
      <c r="I827" s="138"/>
      <c r="T827" s="31"/>
    </row>
    <row r="828">
      <c r="A828" s="138"/>
      <c r="B828" s="138"/>
      <c r="C828" s="138"/>
      <c r="D828" s="138"/>
      <c r="E828" s="138"/>
      <c r="F828" s="138"/>
      <c r="G828" s="138"/>
      <c r="H828" s="138"/>
      <c r="I828" s="138"/>
      <c r="T828" s="31"/>
    </row>
    <row r="829">
      <c r="A829" s="138"/>
      <c r="B829" s="138"/>
      <c r="C829" s="138"/>
      <c r="D829" s="138"/>
      <c r="E829" s="138"/>
      <c r="F829" s="138"/>
      <c r="G829" s="138"/>
      <c r="H829" s="138"/>
      <c r="I829" s="138"/>
      <c r="T829" s="31"/>
    </row>
    <row r="830">
      <c r="A830" s="138"/>
      <c r="B830" s="138"/>
      <c r="C830" s="138"/>
      <c r="D830" s="138"/>
      <c r="E830" s="138"/>
      <c r="F830" s="138"/>
      <c r="G830" s="138"/>
      <c r="H830" s="138"/>
      <c r="I830" s="138"/>
      <c r="T830" s="31"/>
    </row>
    <row r="831">
      <c r="A831" s="138"/>
      <c r="B831" s="138"/>
      <c r="C831" s="138"/>
      <c r="D831" s="138"/>
      <c r="E831" s="138"/>
      <c r="F831" s="138"/>
      <c r="G831" s="138"/>
      <c r="H831" s="138"/>
      <c r="I831" s="138"/>
      <c r="T831" s="31"/>
    </row>
    <row r="832">
      <c r="A832" s="138"/>
      <c r="B832" s="138"/>
      <c r="C832" s="138"/>
      <c r="D832" s="138"/>
      <c r="E832" s="138"/>
      <c r="F832" s="138"/>
      <c r="G832" s="138"/>
      <c r="H832" s="138"/>
      <c r="I832" s="138"/>
      <c r="T832" s="31"/>
    </row>
    <row r="833">
      <c r="A833" s="138"/>
      <c r="B833" s="138"/>
      <c r="C833" s="138"/>
      <c r="D833" s="138"/>
      <c r="E833" s="138"/>
      <c r="F833" s="138"/>
      <c r="G833" s="138"/>
      <c r="H833" s="138"/>
      <c r="I833" s="138"/>
      <c r="T833" s="31"/>
    </row>
    <row r="834">
      <c r="A834" s="138"/>
      <c r="B834" s="138"/>
      <c r="C834" s="138"/>
      <c r="D834" s="138"/>
      <c r="E834" s="138"/>
      <c r="F834" s="138"/>
      <c r="G834" s="138"/>
      <c r="H834" s="138"/>
      <c r="I834" s="138"/>
      <c r="T834" s="31"/>
    </row>
    <row r="835">
      <c r="A835" s="138"/>
      <c r="B835" s="138"/>
      <c r="C835" s="138"/>
      <c r="D835" s="138"/>
      <c r="E835" s="138"/>
      <c r="F835" s="138"/>
      <c r="G835" s="138"/>
      <c r="H835" s="138"/>
      <c r="I835" s="138"/>
      <c r="T835" s="31"/>
    </row>
    <row r="836">
      <c r="A836" s="138"/>
      <c r="B836" s="138"/>
      <c r="C836" s="138"/>
      <c r="D836" s="138"/>
      <c r="E836" s="138"/>
      <c r="F836" s="138"/>
      <c r="G836" s="138"/>
      <c r="H836" s="138"/>
      <c r="I836" s="138"/>
      <c r="T836" s="31"/>
    </row>
    <row r="837">
      <c r="A837" s="138"/>
      <c r="B837" s="138"/>
      <c r="C837" s="138"/>
      <c r="D837" s="138"/>
      <c r="E837" s="138"/>
      <c r="F837" s="138"/>
      <c r="G837" s="138"/>
      <c r="H837" s="138"/>
      <c r="I837" s="138"/>
      <c r="T837" s="31"/>
    </row>
    <row r="838">
      <c r="A838" s="138"/>
      <c r="B838" s="138"/>
      <c r="C838" s="138"/>
      <c r="D838" s="138"/>
      <c r="E838" s="138"/>
      <c r="F838" s="138"/>
      <c r="G838" s="138"/>
      <c r="H838" s="138"/>
      <c r="I838" s="138"/>
      <c r="T838" s="31"/>
    </row>
    <row r="839">
      <c r="A839" s="138"/>
      <c r="B839" s="138"/>
      <c r="C839" s="138"/>
      <c r="D839" s="138"/>
      <c r="E839" s="138"/>
      <c r="F839" s="138"/>
      <c r="G839" s="138"/>
      <c r="H839" s="138"/>
      <c r="I839" s="138"/>
      <c r="T839" s="31"/>
    </row>
    <row r="840">
      <c r="A840" s="138"/>
      <c r="B840" s="138"/>
      <c r="C840" s="138"/>
      <c r="D840" s="138"/>
      <c r="E840" s="138"/>
      <c r="F840" s="138"/>
      <c r="G840" s="138"/>
      <c r="H840" s="138"/>
      <c r="I840" s="138"/>
      <c r="T840" s="31"/>
    </row>
    <row r="841">
      <c r="A841" s="138"/>
      <c r="B841" s="138"/>
      <c r="C841" s="138"/>
      <c r="D841" s="138"/>
      <c r="E841" s="138"/>
      <c r="F841" s="138"/>
      <c r="G841" s="138"/>
      <c r="H841" s="138"/>
      <c r="I841" s="138"/>
      <c r="T841" s="31"/>
    </row>
    <row r="842">
      <c r="A842" s="138"/>
      <c r="B842" s="138"/>
      <c r="C842" s="138"/>
      <c r="D842" s="138"/>
      <c r="E842" s="138"/>
      <c r="F842" s="138"/>
      <c r="G842" s="138"/>
      <c r="H842" s="138"/>
      <c r="I842" s="138"/>
      <c r="T842" s="31"/>
    </row>
    <row r="843">
      <c r="A843" s="138"/>
      <c r="B843" s="138"/>
      <c r="C843" s="138"/>
      <c r="D843" s="138"/>
      <c r="E843" s="138"/>
      <c r="F843" s="138"/>
      <c r="G843" s="138"/>
      <c r="H843" s="138"/>
      <c r="I843" s="138"/>
      <c r="T843" s="31"/>
    </row>
    <row r="844">
      <c r="A844" s="138"/>
      <c r="B844" s="138"/>
      <c r="C844" s="138"/>
      <c r="D844" s="138"/>
      <c r="E844" s="138"/>
      <c r="F844" s="138"/>
      <c r="G844" s="138"/>
      <c r="H844" s="138"/>
      <c r="I844" s="138"/>
      <c r="T844" s="31"/>
    </row>
    <row r="845">
      <c r="A845" s="138"/>
      <c r="B845" s="138"/>
      <c r="C845" s="138"/>
      <c r="D845" s="138"/>
      <c r="E845" s="138"/>
      <c r="F845" s="138"/>
      <c r="G845" s="138"/>
      <c r="H845" s="138"/>
      <c r="I845" s="138"/>
      <c r="T845" s="31"/>
    </row>
    <row r="846">
      <c r="A846" s="138"/>
      <c r="B846" s="138"/>
      <c r="C846" s="138"/>
      <c r="D846" s="138"/>
      <c r="E846" s="138"/>
      <c r="F846" s="138"/>
      <c r="G846" s="138"/>
      <c r="H846" s="138"/>
      <c r="I846" s="138"/>
      <c r="T846" s="31"/>
    </row>
    <row r="847">
      <c r="A847" s="138"/>
      <c r="B847" s="138"/>
      <c r="C847" s="138"/>
      <c r="D847" s="138"/>
      <c r="E847" s="138"/>
      <c r="F847" s="138"/>
      <c r="G847" s="138"/>
      <c r="H847" s="138"/>
      <c r="I847" s="138"/>
      <c r="T847" s="31"/>
    </row>
    <row r="848">
      <c r="A848" s="138"/>
      <c r="B848" s="138"/>
      <c r="C848" s="138"/>
      <c r="D848" s="138"/>
      <c r="E848" s="138"/>
      <c r="F848" s="138"/>
      <c r="G848" s="138"/>
      <c r="H848" s="138"/>
      <c r="I848" s="138"/>
      <c r="T848" s="31"/>
    </row>
    <row r="849">
      <c r="A849" s="138"/>
      <c r="B849" s="138"/>
      <c r="C849" s="138"/>
      <c r="D849" s="138"/>
      <c r="E849" s="138"/>
      <c r="F849" s="138"/>
      <c r="G849" s="138"/>
      <c r="H849" s="138"/>
      <c r="I849" s="138"/>
      <c r="T849" s="31"/>
    </row>
    <row r="850">
      <c r="A850" s="138"/>
      <c r="B850" s="138"/>
      <c r="C850" s="138"/>
      <c r="D850" s="138"/>
      <c r="E850" s="138"/>
      <c r="F850" s="138"/>
      <c r="G850" s="138"/>
      <c r="H850" s="138"/>
      <c r="I850" s="138"/>
      <c r="T850" s="31"/>
    </row>
    <row r="851">
      <c r="A851" s="138"/>
      <c r="B851" s="138"/>
      <c r="C851" s="138"/>
      <c r="D851" s="138"/>
      <c r="E851" s="138"/>
      <c r="F851" s="138"/>
      <c r="G851" s="138"/>
      <c r="H851" s="138"/>
      <c r="I851" s="138"/>
      <c r="T851" s="31"/>
    </row>
    <row r="852">
      <c r="A852" s="138"/>
      <c r="B852" s="138"/>
      <c r="C852" s="138"/>
      <c r="D852" s="138"/>
      <c r="E852" s="138"/>
      <c r="F852" s="138"/>
      <c r="G852" s="138"/>
      <c r="H852" s="138"/>
      <c r="I852" s="138"/>
      <c r="T852" s="31"/>
    </row>
    <row r="853">
      <c r="A853" s="138"/>
      <c r="B853" s="138"/>
      <c r="C853" s="138"/>
      <c r="D853" s="138"/>
      <c r="E853" s="138"/>
      <c r="F853" s="138"/>
      <c r="G853" s="138"/>
      <c r="H853" s="138"/>
      <c r="I853" s="138"/>
      <c r="T853" s="31"/>
    </row>
    <row r="854">
      <c r="A854" s="138"/>
      <c r="B854" s="138"/>
      <c r="C854" s="138"/>
      <c r="D854" s="138"/>
      <c r="E854" s="138"/>
      <c r="F854" s="138"/>
      <c r="G854" s="138"/>
      <c r="H854" s="138"/>
      <c r="I854" s="138"/>
      <c r="T854" s="31"/>
    </row>
    <row r="855">
      <c r="A855" s="138"/>
      <c r="B855" s="138"/>
      <c r="C855" s="138"/>
      <c r="D855" s="138"/>
      <c r="E855" s="138"/>
      <c r="F855" s="138"/>
      <c r="G855" s="138"/>
      <c r="H855" s="138"/>
      <c r="I855" s="138"/>
      <c r="T855" s="31"/>
    </row>
    <row r="856">
      <c r="A856" s="138"/>
      <c r="B856" s="138"/>
      <c r="C856" s="138"/>
      <c r="D856" s="138"/>
      <c r="E856" s="138"/>
      <c r="F856" s="138"/>
      <c r="G856" s="138"/>
      <c r="H856" s="138"/>
      <c r="I856" s="138"/>
      <c r="T856" s="31"/>
    </row>
    <row r="857">
      <c r="A857" s="138"/>
      <c r="B857" s="138"/>
      <c r="C857" s="138"/>
      <c r="D857" s="138"/>
      <c r="E857" s="138"/>
      <c r="F857" s="138"/>
      <c r="G857" s="138"/>
      <c r="H857" s="138"/>
      <c r="I857" s="138"/>
      <c r="T857" s="31"/>
    </row>
    <row r="858">
      <c r="A858" s="138"/>
      <c r="B858" s="138"/>
      <c r="C858" s="138"/>
      <c r="D858" s="138"/>
      <c r="E858" s="138"/>
      <c r="F858" s="138"/>
      <c r="G858" s="138"/>
      <c r="H858" s="138"/>
      <c r="I858" s="138"/>
      <c r="T858" s="31"/>
    </row>
    <row r="859">
      <c r="A859" s="138"/>
      <c r="B859" s="138"/>
      <c r="C859" s="138"/>
      <c r="D859" s="138"/>
      <c r="E859" s="138"/>
      <c r="F859" s="138"/>
      <c r="G859" s="138"/>
      <c r="H859" s="138"/>
      <c r="I859" s="138"/>
      <c r="T859" s="31"/>
    </row>
    <row r="860">
      <c r="A860" s="138"/>
      <c r="B860" s="138"/>
      <c r="C860" s="138"/>
      <c r="D860" s="138"/>
      <c r="E860" s="138"/>
      <c r="F860" s="138"/>
      <c r="G860" s="138"/>
      <c r="H860" s="138"/>
      <c r="I860" s="138"/>
      <c r="T860" s="31"/>
    </row>
    <row r="861">
      <c r="A861" s="138"/>
      <c r="B861" s="138"/>
      <c r="C861" s="138"/>
      <c r="D861" s="138"/>
      <c r="E861" s="138"/>
      <c r="F861" s="138"/>
      <c r="G861" s="138"/>
      <c r="H861" s="138"/>
      <c r="I861" s="138"/>
      <c r="T861" s="31"/>
    </row>
    <row r="862">
      <c r="A862" s="138"/>
      <c r="B862" s="138"/>
      <c r="C862" s="138"/>
      <c r="D862" s="138"/>
      <c r="E862" s="138"/>
      <c r="F862" s="138"/>
      <c r="G862" s="138"/>
      <c r="H862" s="138"/>
      <c r="I862" s="138"/>
      <c r="T862" s="31"/>
    </row>
    <row r="863">
      <c r="A863" s="138"/>
      <c r="B863" s="138"/>
      <c r="C863" s="138"/>
      <c r="D863" s="138"/>
      <c r="E863" s="138"/>
      <c r="F863" s="138"/>
      <c r="G863" s="138"/>
      <c r="H863" s="138"/>
      <c r="I863" s="138"/>
      <c r="T863" s="31"/>
    </row>
    <row r="864">
      <c r="A864" s="138"/>
      <c r="B864" s="138"/>
      <c r="C864" s="138"/>
      <c r="D864" s="138"/>
      <c r="E864" s="138"/>
      <c r="F864" s="138"/>
      <c r="G864" s="138"/>
      <c r="H864" s="138"/>
      <c r="I864" s="138"/>
      <c r="T864" s="31"/>
    </row>
    <row r="865">
      <c r="A865" s="138"/>
      <c r="B865" s="138"/>
      <c r="C865" s="138"/>
      <c r="D865" s="138"/>
      <c r="E865" s="138"/>
      <c r="F865" s="138"/>
      <c r="G865" s="138"/>
      <c r="H865" s="138"/>
      <c r="I865" s="138"/>
      <c r="T865" s="31"/>
    </row>
    <row r="866">
      <c r="A866" s="138"/>
      <c r="B866" s="138"/>
      <c r="C866" s="138"/>
      <c r="D866" s="138"/>
      <c r="E866" s="138"/>
      <c r="F866" s="138"/>
      <c r="G866" s="138"/>
      <c r="H866" s="138"/>
      <c r="I866" s="138"/>
      <c r="T866" s="31"/>
    </row>
    <row r="867">
      <c r="A867" s="138"/>
      <c r="B867" s="138"/>
      <c r="C867" s="138"/>
      <c r="D867" s="138"/>
      <c r="E867" s="138"/>
      <c r="F867" s="138"/>
      <c r="G867" s="138"/>
      <c r="H867" s="138"/>
      <c r="I867" s="138"/>
      <c r="T867" s="31"/>
    </row>
    <row r="868">
      <c r="A868" s="138"/>
      <c r="B868" s="138"/>
      <c r="C868" s="138"/>
      <c r="D868" s="138"/>
      <c r="E868" s="138"/>
      <c r="F868" s="138"/>
      <c r="G868" s="138"/>
      <c r="H868" s="138"/>
      <c r="I868" s="138"/>
      <c r="T868" s="31"/>
    </row>
    <row r="869">
      <c r="A869" s="138"/>
      <c r="B869" s="138"/>
      <c r="C869" s="138"/>
      <c r="D869" s="138"/>
      <c r="E869" s="138"/>
      <c r="F869" s="138"/>
      <c r="G869" s="138"/>
      <c r="H869" s="138"/>
      <c r="I869" s="138"/>
      <c r="T869" s="31"/>
    </row>
    <row r="870">
      <c r="A870" s="138"/>
      <c r="B870" s="138"/>
      <c r="C870" s="138"/>
      <c r="D870" s="138"/>
      <c r="E870" s="138"/>
      <c r="F870" s="138"/>
      <c r="G870" s="138"/>
      <c r="H870" s="138"/>
      <c r="I870" s="138"/>
      <c r="T870" s="31"/>
    </row>
    <row r="871">
      <c r="A871" s="138"/>
      <c r="B871" s="138"/>
      <c r="C871" s="138"/>
      <c r="D871" s="138"/>
      <c r="E871" s="138"/>
      <c r="F871" s="138"/>
      <c r="G871" s="138"/>
      <c r="H871" s="138"/>
      <c r="I871" s="138"/>
      <c r="T871" s="31"/>
    </row>
    <row r="872">
      <c r="A872" s="138"/>
      <c r="B872" s="138"/>
      <c r="C872" s="138"/>
      <c r="D872" s="138"/>
      <c r="E872" s="138"/>
      <c r="F872" s="138"/>
      <c r="G872" s="138"/>
      <c r="H872" s="138"/>
      <c r="I872" s="138"/>
      <c r="T872" s="31"/>
    </row>
    <row r="873">
      <c r="A873" s="138"/>
      <c r="B873" s="138"/>
      <c r="C873" s="138"/>
      <c r="D873" s="138"/>
      <c r="E873" s="138"/>
      <c r="F873" s="138"/>
      <c r="G873" s="138"/>
      <c r="H873" s="138"/>
      <c r="I873" s="138"/>
      <c r="T873" s="31"/>
    </row>
    <row r="874">
      <c r="A874" s="138"/>
      <c r="B874" s="138"/>
      <c r="C874" s="138"/>
      <c r="D874" s="138"/>
      <c r="E874" s="138"/>
      <c r="F874" s="138"/>
      <c r="G874" s="138"/>
      <c r="H874" s="138"/>
      <c r="I874" s="138"/>
      <c r="T874" s="31"/>
    </row>
    <row r="875">
      <c r="A875" s="138"/>
      <c r="B875" s="138"/>
      <c r="C875" s="138"/>
      <c r="D875" s="138"/>
      <c r="E875" s="138"/>
      <c r="F875" s="138"/>
      <c r="G875" s="138"/>
      <c r="H875" s="138"/>
      <c r="I875" s="138"/>
      <c r="T875" s="31"/>
    </row>
    <row r="876">
      <c r="A876" s="138"/>
      <c r="B876" s="138"/>
      <c r="C876" s="138"/>
      <c r="D876" s="138"/>
      <c r="E876" s="138"/>
      <c r="F876" s="138"/>
      <c r="G876" s="138"/>
      <c r="H876" s="138"/>
      <c r="I876" s="138"/>
      <c r="T876" s="31"/>
    </row>
    <row r="877">
      <c r="A877" s="138"/>
      <c r="B877" s="138"/>
      <c r="C877" s="138"/>
      <c r="D877" s="138"/>
      <c r="E877" s="138"/>
      <c r="F877" s="138"/>
      <c r="G877" s="138"/>
      <c r="H877" s="138"/>
      <c r="I877" s="138"/>
      <c r="T877" s="31"/>
    </row>
    <row r="878">
      <c r="A878" s="138"/>
      <c r="B878" s="138"/>
      <c r="C878" s="138"/>
      <c r="D878" s="138"/>
      <c r="E878" s="138"/>
      <c r="F878" s="138"/>
      <c r="G878" s="138"/>
      <c r="H878" s="138"/>
      <c r="I878" s="138"/>
      <c r="T878" s="31"/>
    </row>
    <row r="879">
      <c r="A879" s="138"/>
      <c r="B879" s="138"/>
      <c r="C879" s="138"/>
      <c r="D879" s="138"/>
      <c r="E879" s="138"/>
      <c r="F879" s="138"/>
      <c r="G879" s="138"/>
      <c r="H879" s="138"/>
      <c r="I879" s="138"/>
      <c r="T879" s="31"/>
    </row>
    <row r="880">
      <c r="A880" s="138"/>
      <c r="B880" s="138"/>
      <c r="C880" s="138"/>
      <c r="D880" s="138"/>
      <c r="E880" s="138"/>
      <c r="F880" s="138"/>
      <c r="G880" s="138"/>
      <c r="H880" s="138"/>
      <c r="I880" s="138"/>
      <c r="T880" s="31"/>
    </row>
    <row r="881">
      <c r="A881" s="138"/>
      <c r="B881" s="138"/>
      <c r="C881" s="138"/>
      <c r="D881" s="138"/>
      <c r="E881" s="138"/>
      <c r="F881" s="138"/>
      <c r="G881" s="138"/>
      <c r="H881" s="138"/>
      <c r="I881" s="138"/>
      <c r="T881" s="31"/>
    </row>
    <row r="882">
      <c r="A882" s="138"/>
      <c r="B882" s="138"/>
      <c r="C882" s="138"/>
      <c r="D882" s="138"/>
      <c r="E882" s="138"/>
      <c r="F882" s="138"/>
      <c r="G882" s="138"/>
      <c r="H882" s="138"/>
      <c r="I882" s="138"/>
      <c r="T882" s="31"/>
    </row>
    <row r="883">
      <c r="A883" s="138"/>
      <c r="B883" s="138"/>
      <c r="C883" s="138"/>
      <c r="D883" s="138"/>
      <c r="E883" s="138"/>
      <c r="F883" s="138"/>
      <c r="G883" s="138"/>
      <c r="H883" s="138"/>
      <c r="I883" s="138"/>
      <c r="T883" s="31"/>
    </row>
    <row r="884">
      <c r="A884" s="138"/>
      <c r="B884" s="138"/>
      <c r="C884" s="138"/>
      <c r="D884" s="138"/>
      <c r="E884" s="138"/>
      <c r="F884" s="138"/>
      <c r="G884" s="138"/>
      <c r="H884" s="138"/>
      <c r="I884" s="138"/>
      <c r="T884" s="31"/>
    </row>
    <row r="885">
      <c r="A885" s="138"/>
      <c r="B885" s="138"/>
      <c r="C885" s="138"/>
      <c r="D885" s="138"/>
      <c r="E885" s="138"/>
      <c r="F885" s="138"/>
      <c r="G885" s="138"/>
      <c r="H885" s="138"/>
      <c r="I885" s="138"/>
      <c r="T885" s="31"/>
    </row>
    <row r="886">
      <c r="A886" s="138"/>
      <c r="B886" s="138"/>
      <c r="C886" s="138"/>
      <c r="D886" s="138"/>
      <c r="E886" s="138"/>
      <c r="F886" s="138"/>
      <c r="G886" s="138"/>
      <c r="H886" s="138"/>
      <c r="I886" s="138"/>
      <c r="T886" s="31"/>
    </row>
    <row r="887">
      <c r="A887" s="138"/>
      <c r="B887" s="138"/>
      <c r="C887" s="138"/>
      <c r="D887" s="138"/>
      <c r="E887" s="138"/>
      <c r="F887" s="138"/>
      <c r="G887" s="138"/>
      <c r="H887" s="138"/>
      <c r="I887" s="138"/>
      <c r="T887" s="31"/>
    </row>
    <row r="888">
      <c r="A888" s="138"/>
      <c r="B888" s="138"/>
      <c r="C888" s="138"/>
      <c r="D888" s="138"/>
      <c r="E888" s="138"/>
      <c r="F888" s="138"/>
      <c r="G888" s="138"/>
      <c r="H888" s="138"/>
      <c r="I888" s="138"/>
      <c r="T888" s="31"/>
    </row>
    <row r="889">
      <c r="A889" s="138"/>
      <c r="B889" s="138"/>
      <c r="C889" s="138"/>
      <c r="D889" s="138"/>
      <c r="E889" s="138"/>
      <c r="F889" s="138"/>
      <c r="G889" s="138"/>
      <c r="H889" s="138"/>
      <c r="I889" s="138"/>
      <c r="T889" s="31"/>
    </row>
    <row r="890">
      <c r="A890" s="138"/>
      <c r="B890" s="138"/>
      <c r="C890" s="138"/>
      <c r="D890" s="138"/>
      <c r="E890" s="138"/>
      <c r="F890" s="138"/>
      <c r="G890" s="138"/>
      <c r="H890" s="138"/>
      <c r="I890" s="138"/>
      <c r="T890" s="31"/>
    </row>
    <row r="891">
      <c r="A891" s="138"/>
      <c r="B891" s="138"/>
      <c r="C891" s="138"/>
      <c r="D891" s="138"/>
      <c r="E891" s="138"/>
      <c r="F891" s="138"/>
      <c r="G891" s="138"/>
      <c r="H891" s="138"/>
      <c r="I891" s="138"/>
      <c r="T891" s="31"/>
    </row>
    <row r="892">
      <c r="A892" s="138"/>
      <c r="B892" s="138"/>
      <c r="C892" s="138"/>
      <c r="D892" s="138"/>
      <c r="E892" s="138"/>
      <c r="F892" s="138"/>
      <c r="G892" s="138"/>
      <c r="H892" s="138"/>
      <c r="I892" s="138"/>
      <c r="T892" s="31"/>
    </row>
    <row r="893">
      <c r="A893" s="138"/>
      <c r="B893" s="138"/>
      <c r="C893" s="138"/>
      <c r="D893" s="138"/>
      <c r="E893" s="138"/>
      <c r="F893" s="138"/>
      <c r="G893" s="138"/>
      <c r="H893" s="138"/>
      <c r="I893" s="138"/>
      <c r="T893" s="31"/>
    </row>
    <row r="894">
      <c r="A894" s="138"/>
      <c r="B894" s="138"/>
      <c r="C894" s="138"/>
      <c r="D894" s="138"/>
      <c r="E894" s="138"/>
      <c r="F894" s="138"/>
      <c r="G894" s="138"/>
      <c r="H894" s="138"/>
      <c r="I894" s="138"/>
      <c r="T894" s="31"/>
    </row>
    <row r="895">
      <c r="A895" s="138"/>
      <c r="B895" s="138"/>
      <c r="C895" s="138"/>
      <c r="D895" s="138"/>
      <c r="E895" s="138"/>
      <c r="F895" s="138"/>
      <c r="G895" s="138"/>
      <c r="H895" s="138"/>
      <c r="I895" s="138"/>
      <c r="T895" s="31"/>
    </row>
    <row r="896">
      <c r="A896" s="138"/>
      <c r="B896" s="138"/>
      <c r="C896" s="138"/>
      <c r="D896" s="138"/>
      <c r="E896" s="138"/>
      <c r="F896" s="138"/>
      <c r="G896" s="138"/>
      <c r="H896" s="138"/>
      <c r="I896" s="138"/>
      <c r="T896" s="31"/>
    </row>
    <row r="897">
      <c r="A897" s="138"/>
      <c r="B897" s="138"/>
      <c r="C897" s="138"/>
      <c r="D897" s="138"/>
      <c r="E897" s="138"/>
      <c r="F897" s="138"/>
      <c r="G897" s="138"/>
      <c r="H897" s="138"/>
      <c r="I897" s="138"/>
      <c r="T897" s="31"/>
    </row>
    <row r="898">
      <c r="A898" s="138"/>
      <c r="B898" s="138"/>
      <c r="C898" s="138"/>
      <c r="D898" s="138"/>
      <c r="E898" s="138"/>
      <c r="F898" s="138"/>
      <c r="G898" s="138"/>
      <c r="H898" s="138"/>
      <c r="I898" s="138"/>
      <c r="T898" s="31"/>
    </row>
    <row r="899">
      <c r="A899" s="138"/>
      <c r="B899" s="138"/>
      <c r="C899" s="138"/>
      <c r="D899" s="138"/>
      <c r="E899" s="138"/>
      <c r="F899" s="138"/>
      <c r="G899" s="138"/>
      <c r="H899" s="138"/>
      <c r="I899" s="138"/>
      <c r="T899" s="31"/>
    </row>
    <row r="900">
      <c r="A900" s="138"/>
      <c r="B900" s="138"/>
      <c r="C900" s="138"/>
      <c r="D900" s="138"/>
      <c r="E900" s="138"/>
      <c r="F900" s="138"/>
      <c r="G900" s="138"/>
      <c r="H900" s="138"/>
      <c r="I900" s="138"/>
      <c r="T900" s="31"/>
    </row>
    <row r="901">
      <c r="A901" s="138"/>
      <c r="B901" s="138"/>
      <c r="C901" s="138"/>
      <c r="D901" s="138"/>
      <c r="E901" s="138"/>
      <c r="F901" s="138"/>
      <c r="G901" s="138"/>
      <c r="H901" s="138"/>
      <c r="I901" s="138"/>
      <c r="T901" s="31"/>
    </row>
    <row r="902">
      <c r="A902" s="138"/>
      <c r="B902" s="138"/>
      <c r="C902" s="138"/>
      <c r="D902" s="138"/>
      <c r="E902" s="138"/>
      <c r="F902" s="138"/>
      <c r="G902" s="138"/>
      <c r="H902" s="138"/>
      <c r="I902" s="138"/>
      <c r="T902" s="31"/>
    </row>
    <row r="903">
      <c r="A903" s="138"/>
      <c r="B903" s="138"/>
      <c r="C903" s="138"/>
      <c r="D903" s="138"/>
      <c r="E903" s="138"/>
      <c r="F903" s="138"/>
      <c r="G903" s="138"/>
      <c r="H903" s="138"/>
      <c r="I903" s="138"/>
      <c r="T903" s="31"/>
    </row>
    <row r="904">
      <c r="A904" s="138"/>
      <c r="B904" s="138"/>
      <c r="C904" s="138"/>
      <c r="D904" s="138"/>
      <c r="E904" s="138"/>
      <c r="F904" s="138"/>
      <c r="G904" s="138"/>
      <c r="H904" s="138"/>
      <c r="I904" s="138"/>
      <c r="T904" s="31"/>
    </row>
    <row r="905">
      <c r="A905" s="138"/>
      <c r="B905" s="138"/>
      <c r="C905" s="138"/>
      <c r="D905" s="138"/>
      <c r="E905" s="138"/>
      <c r="F905" s="138"/>
      <c r="G905" s="138"/>
      <c r="H905" s="138"/>
      <c r="I905" s="138"/>
      <c r="T905" s="31"/>
    </row>
    <row r="906">
      <c r="A906" s="138"/>
      <c r="B906" s="138"/>
      <c r="C906" s="138"/>
      <c r="D906" s="138"/>
      <c r="E906" s="138"/>
      <c r="F906" s="138"/>
      <c r="G906" s="138"/>
      <c r="H906" s="138"/>
      <c r="I906" s="138"/>
      <c r="T906" s="31"/>
    </row>
    <row r="907">
      <c r="A907" s="138"/>
      <c r="B907" s="138"/>
      <c r="C907" s="138"/>
      <c r="D907" s="138"/>
      <c r="E907" s="138"/>
      <c r="F907" s="138"/>
      <c r="G907" s="138"/>
      <c r="H907" s="138"/>
      <c r="I907" s="138"/>
      <c r="T907" s="31"/>
    </row>
    <row r="908">
      <c r="A908" s="138"/>
      <c r="B908" s="138"/>
      <c r="C908" s="138"/>
      <c r="D908" s="138"/>
      <c r="E908" s="138"/>
      <c r="F908" s="138"/>
      <c r="G908" s="138"/>
      <c r="H908" s="138"/>
      <c r="I908" s="138"/>
      <c r="T908" s="31"/>
    </row>
    <row r="909">
      <c r="A909" s="138"/>
      <c r="B909" s="138"/>
      <c r="C909" s="138"/>
      <c r="D909" s="138"/>
      <c r="E909" s="138"/>
      <c r="F909" s="138"/>
      <c r="G909" s="138"/>
      <c r="H909" s="138"/>
      <c r="I909" s="138"/>
      <c r="T909" s="31"/>
    </row>
    <row r="910">
      <c r="A910" s="138"/>
      <c r="B910" s="138"/>
      <c r="C910" s="138"/>
      <c r="D910" s="138"/>
      <c r="E910" s="138"/>
      <c r="F910" s="138"/>
      <c r="G910" s="138"/>
      <c r="H910" s="138"/>
      <c r="I910" s="138"/>
      <c r="T910" s="31"/>
    </row>
    <row r="911">
      <c r="A911" s="138"/>
      <c r="B911" s="138"/>
      <c r="C911" s="138"/>
      <c r="D911" s="138"/>
      <c r="E911" s="138"/>
      <c r="F911" s="138"/>
      <c r="G911" s="138"/>
      <c r="H911" s="138"/>
      <c r="I911" s="138"/>
      <c r="T911" s="31"/>
    </row>
    <row r="912">
      <c r="A912" s="138"/>
      <c r="B912" s="138"/>
      <c r="C912" s="138"/>
      <c r="D912" s="138"/>
      <c r="E912" s="138"/>
      <c r="F912" s="138"/>
      <c r="G912" s="138"/>
      <c r="H912" s="138"/>
      <c r="I912" s="138"/>
      <c r="T912" s="31"/>
    </row>
    <row r="913">
      <c r="A913" s="138"/>
      <c r="B913" s="138"/>
      <c r="C913" s="138"/>
      <c r="D913" s="138"/>
      <c r="E913" s="138"/>
      <c r="F913" s="138"/>
      <c r="G913" s="138"/>
      <c r="H913" s="138"/>
      <c r="I913" s="138"/>
      <c r="T913" s="31"/>
    </row>
    <row r="914">
      <c r="A914" s="138"/>
      <c r="B914" s="138"/>
      <c r="C914" s="138"/>
      <c r="D914" s="138"/>
      <c r="E914" s="138"/>
      <c r="F914" s="138"/>
      <c r="G914" s="138"/>
      <c r="H914" s="138"/>
      <c r="I914" s="138"/>
      <c r="T914" s="31"/>
    </row>
    <row r="915">
      <c r="A915" s="138"/>
      <c r="B915" s="138"/>
      <c r="C915" s="138"/>
      <c r="D915" s="138"/>
      <c r="E915" s="138"/>
      <c r="F915" s="138"/>
      <c r="G915" s="138"/>
      <c r="H915" s="138"/>
      <c r="I915" s="138"/>
      <c r="T915" s="31"/>
    </row>
    <row r="916">
      <c r="A916" s="138"/>
      <c r="B916" s="138"/>
      <c r="C916" s="138"/>
      <c r="D916" s="138"/>
      <c r="E916" s="138"/>
      <c r="F916" s="138"/>
      <c r="G916" s="138"/>
      <c r="H916" s="138"/>
      <c r="I916" s="138"/>
      <c r="T916" s="31"/>
    </row>
    <row r="917">
      <c r="A917" s="138"/>
      <c r="B917" s="138"/>
      <c r="C917" s="138"/>
      <c r="D917" s="138"/>
      <c r="E917" s="138"/>
      <c r="F917" s="138"/>
      <c r="G917" s="138"/>
      <c r="H917" s="138"/>
      <c r="I917" s="138"/>
      <c r="T917" s="31"/>
    </row>
    <row r="918">
      <c r="A918" s="138"/>
      <c r="B918" s="138"/>
      <c r="C918" s="138"/>
      <c r="D918" s="138"/>
      <c r="E918" s="138"/>
      <c r="F918" s="138"/>
      <c r="G918" s="138"/>
      <c r="H918" s="138"/>
      <c r="I918" s="138"/>
      <c r="T918" s="31"/>
    </row>
    <row r="919">
      <c r="A919" s="138"/>
      <c r="B919" s="138"/>
      <c r="C919" s="138"/>
      <c r="D919" s="138"/>
      <c r="E919" s="138"/>
      <c r="F919" s="138"/>
      <c r="G919" s="138"/>
      <c r="H919" s="138"/>
      <c r="I919" s="138"/>
      <c r="T919" s="31"/>
    </row>
    <row r="920">
      <c r="A920" s="138"/>
      <c r="B920" s="138"/>
      <c r="C920" s="138"/>
      <c r="D920" s="138"/>
      <c r="E920" s="138"/>
      <c r="F920" s="138"/>
      <c r="G920" s="138"/>
      <c r="H920" s="138"/>
      <c r="I920" s="138"/>
      <c r="T920" s="31"/>
    </row>
    <row r="921">
      <c r="A921" s="138"/>
      <c r="B921" s="138"/>
      <c r="C921" s="138"/>
      <c r="D921" s="138"/>
      <c r="E921" s="138"/>
      <c r="F921" s="138"/>
      <c r="G921" s="138"/>
      <c r="H921" s="138"/>
      <c r="I921" s="138"/>
      <c r="T921" s="31"/>
    </row>
    <row r="922">
      <c r="A922" s="138"/>
      <c r="B922" s="138"/>
      <c r="C922" s="138"/>
      <c r="D922" s="138"/>
      <c r="E922" s="138"/>
      <c r="F922" s="138"/>
      <c r="G922" s="138"/>
      <c r="H922" s="138"/>
      <c r="I922" s="138"/>
      <c r="T922" s="31"/>
    </row>
    <row r="923">
      <c r="A923" s="138"/>
      <c r="B923" s="138"/>
      <c r="C923" s="138"/>
      <c r="D923" s="138"/>
      <c r="E923" s="138"/>
      <c r="F923" s="138"/>
      <c r="G923" s="138"/>
      <c r="H923" s="138"/>
      <c r="I923" s="138"/>
      <c r="T923" s="31"/>
    </row>
    <row r="924">
      <c r="A924" s="138"/>
      <c r="B924" s="138"/>
      <c r="C924" s="138"/>
      <c r="D924" s="138"/>
      <c r="E924" s="138"/>
      <c r="F924" s="138"/>
      <c r="G924" s="138"/>
      <c r="H924" s="138"/>
      <c r="I924" s="138"/>
      <c r="T924" s="31"/>
    </row>
    <row r="925">
      <c r="A925" s="138"/>
      <c r="B925" s="138"/>
      <c r="C925" s="138"/>
      <c r="D925" s="138"/>
      <c r="E925" s="138"/>
      <c r="F925" s="138"/>
      <c r="G925" s="138"/>
      <c r="H925" s="138"/>
      <c r="I925" s="138"/>
      <c r="T925" s="31"/>
    </row>
    <row r="926">
      <c r="A926" s="138"/>
      <c r="B926" s="138"/>
      <c r="C926" s="138"/>
      <c r="D926" s="138"/>
      <c r="E926" s="138"/>
      <c r="F926" s="138"/>
      <c r="G926" s="138"/>
      <c r="H926" s="138"/>
      <c r="I926" s="138"/>
      <c r="T926" s="31"/>
    </row>
    <row r="927">
      <c r="A927" s="138"/>
      <c r="B927" s="138"/>
      <c r="C927" s="138"/>
      <c r="D927" s="138"/>
      <c r="E927" s="138"/>
      <c r="F927" s="138"/>
      <c r="G927" s="138"/>
      <c r="H927" s="138"/>
      <c r="I927" s="138"/>
      <c r="T927" s="31"/>
    </row>
    <row r="928">
      <c r="A928" s="138"/>
      <c r="B928" s="138"/>
      <c r="C928" s="138"/>
      <c r="D928" s="138"/>
      <c r="E928" s="138"/>
      <c r="F928" s="138"/>
      <c r="G928" s="138"/>
      <c r="H928" s="138"/>
      <c r="I928" s="138"/>
      <c r="T928" s="31"/>
    </row>
    <row r="929">
      <c r="A929" s="138"/>
      <c r="B929" s="138"/>
      <c r="C929" s="138"/>
      <c r="D929" s="138"/>
      <c r="E929" s="138"/>
      <c r="F929" s="138"/>
      <c r="G929" s="138"/>
      <c r="H929" s="138"/>
      <c r="I929" s="138"/>
      <c r="T929" s="31"/>
    </row>
    <row r="930">
      <c r="A930" s="138"/>
      <c r="B930" s="138"/>
      <c r="C930" s="138"/>
      <c r="D930" s="138"/>
      <c r="E930" s="138"/>
      <c r="F930" s="138"/>
      <c r="G930" s="138"/>
      <c r="H930" s="138"/>
      <c r="I930" s="138"/>
      <c r="T930" s="31"/>
    </row>
    <row r="931">
      <c r="A931" s="138"/>
      <c r="B931" s="138"/>
      <c r="C931" s="138"/>
      <c r="D931" s="138"/>
      <c r="E931" s="138"/>
      <c r="F931" s="138"/>
      <c r="G931" s="138"/>
      <c r="H931" s="138"/>
      <c r="I931" s="138"/>
      <c r="T931" s="31"/>
    </row>
    <row r="932">
      <c r="A932" s="138"/>
      <c r="B932" s="138"/>
      <c r="C932" s="138"/>
      <c r="D932" s="138"/>
      <c r="E932" s="138"/>
      <c r="F932" s="138"/>
      <c r="G932" s="138"/>
      <c r="H932" s="138"/>
      <c r="I932" s="138"/>
      <c r="T932" s="31"/>
    </row>
    <row r="933">
      <c r="A933" s="138"/>
      <c r="B933" s="138"/>
      <c r="C933" s="138"/>
      <c r="D933" s="138"/>
      <c r="E933" s="138"/>
      <c r="F933" s="138"/>
      <c r="G933" s="138"/>
      <c r="H933" s="138"/>
      <c r="I933" s="138"/>
      <c r="T933" s="31"/>
    </row>
    <row r="934">
      <c r="A934" s="138"/>
      <c r="B934" s="138"/>
      <c r="C934" s="138"/>
      <c r="D934" s="138"/>
      <c r="E934" s="138"/>
      <c r="F934" s="138"/>
      <c r="G934" s="138"/>
      <c r="H934" s="138"/>
      <c r="I934" s="138"/>
      <c r="T934" s="31"/>
    </row>
    <row r="935">
      <c r="A935" s="138"/>
      <c r="B935" s="138"/>
      <c r="C935" s="138"/>
      <c r="D935" s="138"/>
      <c r="E935" s="138"/>
      <c r="F935" s="138"/>
      <c r="G935" s="138"/>
      <c r="H935" s="138"/>
      <c r="I935" s="138"/>
      <c r="T935" s="31"/>
    </row>
    <row r="936">
      <c r="A936" s="138"/>
      <c r="B936" s="138"/>
      <c r="C936" s="138"/>
      <c r="D936" s="138"/>
      <c r="E936" s="138"/>
      <c r="F936" s="138"/>
      <c r="G936" s="138"/>
      <c r="H936" s="138"/>
      <c r="I936" s="138"/>
      <c r="T936" s="31"/>
    </row>
    <row r="937">
      <c r="A937" s="138"/>
      <c r="B937" s="138"/>
      <c r="C937" s="138"/>
      <c r="D937" s="138"/>
      <c r="E937" s="138"/>
      <c r="F937" s="138"/>
      <c r="G937" s="138"/>
      <c r="H937" s="138"/>
      <c r="I937" s="138"/>
      <c r="T937" s="31"/>
    </row>
    <row r="938">
      <c r="A938" s="138"/>
      <c r="B938" s="138"/>
      <c r="C938" s="138"/>
      <c r="D938" s="138"/>
      <c r="E938" s="138"/>
      <c r="F938" s="138"/>
      <c r="G938" s="138"/>
      <c r="H938" s="138"/>
      <c r="I938" s="138"/>
      <c r="T938" s="31"/>
    </row>
    <row r="939">
      <c r="A939" s="138"/>
      <c r="B939" s="138"/>
      <c r="C939" s="138"/>
      <c r="D939" s="138"/>
      <c r="E939" s="138"/>
      <c r="F939" s="138"/>
      <c r="G939" s="138"/>
      <c r="H939" s="138"/>
      <c r="I939" s="138"/>
      <c r="T939" s="31"/>
    </row>
    <row r="940">
      <c r="A940" s="138"/>
      <c r="B940" s="138"/>
      <c r="C940" s="138"/>
      <c r="D940" s="138"/>
      <c r="E940" s="138"/>
      <c r="F940" s="138"/>
      <c r="G940" s="138"/>
      <c r="H940" s="138"/>
      <c r="I940" s="138"/>
      <c r="T940" s="31"/>
    </row>
    <row r="941">
      <c r="A941" s="138"/>
      <c r="B941" s="138"/>
      <c r="C941" s="138"/>
      <c r="D941" s="138"/>
      <c r="E941" s="138"/>
      <c r="F941" s="138"/>
      <c r="G941" s="138"/>
      <c r="H941" s="138"/>
      <c r="I941" s="138"/>
      <c r="T941" s="31"/>
    </row>
    <row r="942">
      <c r="A942" s="138"/>
      <c r="B942" s="138"/>
      <c r="C942" s="138"/>
      <c r="D942" s="138"/>
      <c r="E942" s="138"/>
      <c r="F942" s="138"/>
      <c r="G942" s="138"/>
      <c r="H942" s="138"/>
      <c r="I942" s="138"/>
      <c r="T942" s="31"/>
    </row>
    <row r="943">
      <c r="A943" s="138"/>
      <c r="B943" s="138"/>
      <c r="C943" s="138"/>
      <c r="D943" s="138"/>
      <c r="E943" s="138"/>
      <c r="F943" s="138"/>
      <c r="G943" s="138"/>
      <c r="H943" s="138"/>
      <c r="I943" s="138"/>
      <c r="T943" s="31"/>
    </row>
    <row r="944">
      <c r="A944" s="138"/>
      <c r="B944" s="138"/>
      <c r="C944" s="138"/>
      <c r="D944" s="138"/>
      <c r="E944" s="138"/>
      <c r="F944" s="138"/>
      <c r="G944" s="138"/>
      <c r="H944" s="138"/>
      <c r="I944" s="138"/>
      <c r="T944" s="31"/>
    </row>
    <row r="945">
      <c r="A945" s="138"/>
      <c r="B945" s="138"/>
      <c r="C945" s="138"/>
      <c r="D945" s="138"/>
      <c r="E945" s="138"/>
      <c r="F945" s="138"/>
      <c r="G945" s="138"/>
      <c r="H945" s="138"/>
      <c r="I945" s="138"/>
      <c r="T945" s="31"/>
    </row>
    <row r="946">
      <c r="A946" s="138"/>
      <c r="B946" s="138"/>
      <c r="C946" s="138"/>
      <c r="D946" s="138"/>
      <c r="E946" s="138"/>
      <c r="F946" s="138"/>
      <c r="G946" s="138"/>
      <c r="H946" s="138"/>
      <c r="I946" s="138"/>
      <c r="T946" s="31"/>
    </row>
    <row r="947">
      <c r="A947" s="138"/>
      <c r="B947" s="138"/>
      <c r="C947" s="138"/>
      <c r="D947" s="138"/>
      <c r="E947" s="138"/>
      <c r="F947" s="138"/>
      <c r="G947" s="138"/>
      <c r="H947" s="138"/>
      <c r="I947" s="138"/>
      <c r="T947" s="31"/>
    </row>
    <row r="948">
      <c r="A948" s="138"/>
      <c r="B948" s="138"/>
      <c r="C948" s="138"/>
      <c r="D948" s="138"/>
      <c r="E948" s="138"/>
      <c r="F948" s="138"/>
      <c r="G948" s="138"/>
      <c r="H948" s="138"/>
      <c r="I948" s="138"/>
      <c r="T948" s="31"/>
    </row>
    <row r="949">
      <c r="A949" s="138"/>
      <c r="B949" s="138"/>
      <c r="C949" s="138"/>
      <c r="D949" s="138"/>
      <c r="E949" s="138"/>
      <c r="F949" s="138"/>
      <c r="G949" s="138"/>
      <c r="H949" s="138"/>
      <c r="I949" s="138"/>
      <c r="T949" s="31"/>
    </row>
    <row r="950">
      <c r="A950" s="138"/>
      <c r="B950" s="138"/>
      <c r="C950" s="138"/>
      <c r="D950" s="138"/>
      <c r="E950" s="138"/>
      <c r="F950" s="138"/>
      <c r="G950" s="138"/>
      <c r="H950" s="138"/>
      <c r="I950" s="138"/>
      <c r="T950" s="31"/>
    </row>
  </sheetData>
  <mergeCells count="16">
    <mergeCell ref="H3:I3"/>
    <mergeCell ref="J3:K3"/>
    <mergeCell ref="L3:M3"/>
    <mergeCell ref="N3:O3"/>
    <mergeCell ref="P3:Q3"/>
    <mergeCell ref="R3:S3"/>
    <mergeCell ref="T3:U3"/>
    <mergeCell ref="V3:X3"/>
    <mergeCell ref="B2:G2"/>
    <mergeCell ref="H2:M2"/>
    <mergeCell ref="N2:S2"/>
    <mergeCell ref="T2:Z2"/>
    <mergeCell ref="B3:C3"/>
    <mergeCell ref="D3:E3"/>
    <mergeCell ref="F3:G3"/>
    <mergeCell ref="Y3:Z3"/>
  </mergeCells>
  <dataValidations>
    <dataValidation type="list" allowBlank="1" showErrorMessage="1" sqref="B24:Z24 B32:Z32">
      <formula1>"0%,100%"</formula1>
    </dataValidation>
  </dataValidations>
  <hyperlinks>
    <hyperlink r:id="rId2" ref="I23"/>
    <hyperlink r:id="rId3" ref="J23"/>
    <hyperlink r:id="rId4" ref="K23"/>
    <hyperlink r:id="rId5" ref="L23"/>
    <hyperlink r:id="rId6" ref="M23"/>
    <hyperlink r:id="rId7" ref="N23"/>
    <hyperlink r:id="rId8" ref="O23"/>
    <hyperlink r:id="rId9" ref="P23"/>
    <hyperlink r:id="rId10" ref="Q23"/>
  </hyperlinks>
  <drawing r:id="rId11"/>
  <legacyDrawing r:id="rId1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29.75"/>
    <col customWidth="1" min="2" max="5" width="20.0"/>
    <col customWidth="1" min="6" max="6" width="20.63"/>
    <col customWidth="1" min="7" max="9" width="20.75"/>
    <col customWidth="1" min="10" max="10" width="20.63"/>
    <col customWidth="1" min="11" max="11" width="20.0"/>
    <col customWidth="1" min="12" max="12" width="19.0"/>
    <col customWidth="1" min="13" max="13" width="19.25"/>
    <col customWidth="1" min="14" max="14" width="15.25"/>
    <col customWidth="1" min="15" max="15" width="17.5"/>
    <col customWidth="1" min="16" max="16" width="18.25"/>
    <col customWidth="1" min="17" max="17" width="16.5"/>
    <col customWidth="1" min="18" max="18" width="18.13"/>
    <col customWidth="1" min="27" max="27" width="13.5"/>
  </cols>
  <sheetData>
    <row r="1" ht="30.0" customHeight="1">
      <c r="A1" s="1" t="s">
        <v>1191</v>
      </c>
      <c r="B1" s="2"/>
      <c r="C1" s="3"/>
      <c r="D1" s="3"/>
      <c r="E1" s="3"/>
      <c r="F1" s="3"/>
      <c r="G1" s="3"/>
      <c r="H1" s="3"/>
      <c r="I1" s="3"/>
      <c r="J1" s="3"/>
      <c r="K1" s="3"/>
      <c r="L1" s="3"/>
      <c r="M1" s="3"/>
      <c r="N1" s="3"/>
      <c r="O1" s="3"/>
      <c r="P1" s="4"/>
      <c r="Q1" s="4"/>
      <c r="R1" s="4"/>
      <c r="S1" s="5"/>
      <c r="T1" s="4"/>
      <c r="U1" s="4"/>
      <c r="V1" s="4"/>
      <c r="W1" s="4"/>
      <c r="X1" s="4"/>
      <c r="Y1" s="4"/>
      <c r="Z1" s="4"/>
      <c r="AA1" s="4"/>
      <c r="AB1" s="4"/>
      <c r="AC1" s="4"/>
      <c r="AD1" s="4"/>
      <c r="AE1" s="4"/>
      <c r="AF1" s="4"/>
      <c r="AG1" s="4"/>
      <c r="AH1" s="4"/>
      <c r="AI1" s="4"/>
      <c r="AJ1" s="4"/>
      <c r="AK1" s="4"/>
      <c r="AL1" s="4"/>
      <c r="AM1" s="4"/>
      <c r="AN1" s="4"/>
      <c r="AO1" s="4"/>
    </row>
    <row r="2">
      <c r="A2" s="6" t="s">
        <v>1</v>
      </c>
      <c r="B2" s="7" t="s">
        <v>2</v>
      </c>
      <c r="C2" s="8"/>
      <c r="D2" s="8"/>
      <c r="E2" s="8"/>
      <c r="F2" s="8"/>
      <c r="G2" s="9"/>
      <c r="H2" s="10" t="s">
        <v>3</v>
      </c>
      <c r="I2" s="8"/>
      <c r="J2" s="8"/>
      <c r="K2" s="8"/>
      <c r="L2" s="8"/>
      <c r="M2" s="9"/>
      <c r="N2" s="10" t="s">
        <v>4</v>
      </c>
      <c r="O2" s="8"/>
      <c r="P2" s="8"/>
      <c r="Q2" s="8"/>
      <c r="R2" s="8"/>
      <c r="S2" s="9"/>
      <c r="T2" s="11" t="s">
        <v>5</v>
      </c>
      <c r="U2" s="8"/>
      <c r="V2" s="8"/>
      <c r="W2" s="8"/>
      <c r="X2" s="8"/>
      <c r="Y2" s="8"/>
      <c r="Z2" s="9"/>
      <c r="AA2" s="723" t="s">
        <v>1192</v>
      </c>
      <c r="AB2" s="723" t="s">
        <v>1193</v>
      </c>
      <c r="AC2" s="12"/>
      <c r="AD2" s="12"/>
      <c r="AE2" s="12"/>
      <c r="AF2" s="12"/>
      <c r="AG2" s="12"/>
      <c r="AH2" s="12"/>
      <c r="AI2" s="12"/>
      <c r="AJ2" s="12"/>
      <c r="AK2" s="12"/>
      <c r="AL2" s="12"/>
      <c r="AM2" s="12"/>
      <c r="AN2" s="12"/>
      <c r="AO2" s="12"/>
    </row>
    <row r="3">
      <c r="A3" s="6" t="s">
        <v>6</v>
      </c>
      <c r="B3" s="13" t="s">
        <v>7</v>
      </c>
      <c r="C3" s="14"/>
      <c r="D3" s="724" t="s">
        <v>8</v>
      </c>
      <c r="E3" s="575"/>
      <c r="F3" s="467" t="s">
        <v>9</v>
      </c>
      <c r="G3" s="9"/>
      <c r="H3" s="293" t="s">
        <v>10</v>
      </c>
      <c r="I3" s="9"/>
      <c r="J3" s="10" t="s">
        <v>11</v>
      </c>
      <c r="K3" s="8"/>
      <c r="L3" s="16" t="s">
        <v>12</v>
      </c>
      <c r="M3" s="8"/>
      <c r="N3" s="10" t="s">
        <v>13</v>
      </c>
      <c r="O3" s="9"/>
      <c r="P3" s="15" t="s">
        <v>14</v>
      </c>
      <c r="Q3" s="9"/>
      <c r="R3" s="10" t="s">
        <v>15</v>
      </c>
      <c r="S3" s="9"/>
      <c r="T3" s="17" t="s">
        <v>16</v>
      </c>
      <c r="U3" s="9"/>
      <c r="V3" s="10" t="s">
        <v>17</v>
      </c>
      <c r="W3" s="8"/>
      <c r="X3" s="9"/>
      <c r="Y3" s="16" t="s">
        <v>18</v>
      </c>
      <c r="Z3" s="9"/>
      <c r="AA3" s="12"/>
      <c r="AB3" s="12"/>
      <c r="AC3" s="12"/>
      <c r="AD3" s="12"/>
      <c r="AE3" s="12"/>
      <c r="AF3" s="12"/>
      <c r="AG3" s="12"/>
      <c r="AH3" s="12"/>
      <c r="AI3" s="12"/>
      <c r="AJ3" s="12"/>
      <c r="AK3" s="12"/>
      <c r="AL3" s="12"/>
      <c r="AM3" s="12"/>
      <c r="AN3" s="12"/>
      <c r="AO3" s="12"/>
    </row>
    <row r="4">
      <c r="A4" s="6" t="s">
        <v>19</v>
      </c>
      <c r="B4" s="583" t="s">
        <v>1194</v>
      </c>
      <c r="C4" s="583" t="s">
        <v>1195</v>
      </c>
      <c r="D4" s="725" t="s">
        <v>1196</v>
      </c>
      <c r="E4" s="726" t="s">
        <v>1197</v>
      </c>
      <c r="F4" s="583" t="s">
        <v>1198</v>
      </c>
      <c r="G4" s="726" t="s">
        <v>1199</v>
      </c>
      <c r="H4" s="726" t="s">
        <v>1200</v>
      </c>
      <c r="I4" s="726" t="s">
        <v>1201</v>
      </c>
      <c r="J4" s="19" t="s">
        <v>922</v>
      </c>
      <c r="K4" s="19" t="s">
        <v>1202</v>
      </c>
      <c r="L4" s="19" t="s">
        <v>1203</v>
      </c>
      <c r="M4" s="19" t="s">
        <v>1204</v>
      </c>
      <c r="N4" s="19"/>
      <c r="O4" s="19"/>
      <c r="P4" s="19"/>
      <c r="Q4" s="19"/>
      <c r="R4" s="19"/>
      <c r="S4" s="19"/>
      <c r="T4" s="20"/>
      <c r="U4" s="19"/>
      <c r="V4" s="19"/>
      <c r="W4" s="19"/>
      <c r="X4" s="19"/>
      <c r="Y4" s="19"/>
      <c r="Z4" s="21"/>
      <c r="AA4" s="12"/>
      <c r="AB4" s="12"/>
      <c r="AC4" s="12"/>
      <c r="AD4" s="12"/>
      <c r="AE4" s="12"/>
      <c r="AF4" s="12"/>
      <c r="AG4" s="12"/>
      <c r="AH4" s="12"/>
      <c r="AI4" s="12"/>
      <c r="AJ4" s="12"/>
      <c r="AK4" s="12"/>
      <c r="AL4" s="12"/>
      <c r="AM4" s="12"/>
      <c r="AN4" s="12"/>
      <c r="AO4" s="12"/>
    </row>
    <row r="5">
      <c r="A5" s="22" t="s">
        <v>20</v>
      </c>
      <c r="B5" s="23" t="s">
        <v>1205</v>
      </c>
      <c r="C5" s="23" t="s">
        <v>1206</v>
      </c>
      <c r="D5" s="23" t="s">
        <v>1207</v>
      </c>
      <c r="E5" s="23" t="s">
        <v>1208</v>
      </c>
      <c r="F5" s="23" t="s">
        <v>1209</v>
      </c>
      <c r="G5" s="23" t="s">
        <v>1210</v>
      </c>
      <c r="H5" s="23" t="s">
        <v>1211</v>
      </c>
      <c r="I5" s="23" t="s">
        <v>1212</v>
      </c>
      <c r="J5" s="23" t="s">
        <v>1213</v>
      </c>
      <c r="K5" s="23" t="s">
        <v>1214</v>
      </c>
      <c r="L5" s="23" t="s">
        <v>1215</v>
      </c>
      <c r="M5" s="23" t="s">
        <v>1216</v>
      </c>
      <c r="N5" s="23" t="s">
        <v>1217</v>
      </c>
      <c r="O5" s="23" t="s">
        <v>1218</v>
      </c>
      <c r="P5" s="23" t="s">
        <v>1219</v>
      </c>
      <c r="Q5" s="23" t="s">
        <v>1220</v>
      </c>
      <c r="R5" s="23" t="s">
        <v>1221</v>
      </c>
      <c r="S5" s="25"/>
      <c r="T5" s="26"/>
      <c r="U5" s="25"/>
      <c r="V5" s="24"/>
      <c r="W5" s="24"/>
      <c r="X5" s="24"/>
      <c r="Y5" s="25"/>
      <c r="Z5" s="25"/>
      <c r="AA5" s="27"/>
      <c r="AB5" s="28"/>
      <c r="AC5" s="28"/>
      <c r="AD5" s="28"/>
      <c r="AE5" s="28"/>
      <c r="AF5" s="28"/>
      <c r="AG5" s="28"/>
      <c r="AH5" s="28"/>
      <c r="AI5" s="28"/>
      <c r="AJ5" s="28"/>
      <c r="AK5" s="28"/>
      <c r="AL5" s="28"/>
      <c r="AM5" s="28"/>
      <c r="AN5" s="28"/>
      <c r="AO5" s="28"/>
    </row>
    <row r="6">
      <c r="A6" s="29"/>
      <c r="B6" s="30"/>
      <c r="T6" s="31"/>
    </row>
    <row r="7">
      <c r="A7" s="32" t="s">
        <v>21</v>
      </c>
      <c r="B7" s="33">
        <v>294.0</v>
      </c>
      <c r="C7" s="34">
        <f>230+76</f>
        <v>306</v>
      </c>
      <c r="D7" s="34">
        <f>181+86</f>
        <v>267</v>
      </c>
      <c r="E7" s="34">
        <f>231+48</f>
        <v>279</v>
      </c>
      <c r="F7" s="34">
        <v>234.0</v>
      </c>
      <c r="G7" s="34">
        <v>278.0</v>
      </c>
      <c r="H7" s="34">
        <v>291.0</v>
      </c>
      <c r="I7" s="34">
        <v>244.0</v>
      </c>
      <c r="J7" s="34">
        <v>256.0</v>
      </c>
      <c r="K7" s="34">
        <v>168.0</v>
      </c>
      <c r="L7" s="34">
        <v>218.0</v>
      </c>
      <c r="M7" s="34">
        <v>261.0</v>
      </c>
      <c r="N7" s="34"/>
      <c r="O7" s="34">
        <v>211.0</v>
      </c>
      <c r="P7" s="34">
        <f>145+167+34</f>
        <v>346</v>
      </c>
      <c r="Q7" s="34">
        <v>227.0</v>
      </c>
      <c r="R7" s="34">
        <v>203.0</v>
      </c>
      <c r="S7" s="35">
        <v>258.0</v>
      </c>
      <c r="T7" s="36"/>
      <c r="U7" s="34"/>
      <c r="V7" s="34"/>
      <c r="W7" s="34"/>
      <c r="X7" s="34"/>
      <c r="Y7" s="34"/>
      <c r="Z7" s="34"/>
    </row>
    <row r="8">
      <c r="A8" s="37" t="s">
        <v>22</v>
      </c>
      <c r="B8" s="38">
        <v>262.0</v>
      </c>
      <c r="C8" s="39">
        <f>251-21</f>
        <v>230</v>
      </c>
      <c r="D8" s="39">
        <v>244.0</v>
      </c>
      <c r="E8" s="39">
        <v>218.0</v>
      </c>
      <c r="F8" s="39">
        <v>202.0</v>
      </c>
      <c r="G8" s="39">
        <v>232.0</v>
      </c>
      <c r="H8" s="39">
        <v>264.0</v>
      </c>
      <c r="I8" s="39">
        <v>208.0</v>
      </c>
      <c r="J8" s="39">
        <v>200.0</v>
      </c>
      <c r="K8" s="39">
        <v>141.0</v>
      </c>
      <c r="L8" s="39">
        <v>174.0</v>
      </c>
      <c r="M8" s="39">
        <v>224.0</v>
      </c>
      <c r="N8" s="39"/>
      <c r="O8" s="39">
        <v>190.0</v>
      </c>
      <c r="P8" s="39">
        <f>346-68-34+8</f>
        <v>252</v>
      </c>
      <c r="Q8" s="39">
        <v>163.0</v>
      </c>
      <c r="R8" s="39">
        <v>171.0</v>
      </c>
      <c r="S8" s="40">
        <v>203.0</v>
      </c>
      <c r="T8" s="41">
        <v>172.0</v>
      </c>
      <c r="U8" s="39"/>
      <c r="V8" s="39"/>
      <c r="W8" s="39"/>
      <c r="X8" s="39"/>
      <c r="Y8" s="39"/>
      <c r="Z8" s="39"/>
    </row>
    <row r="9">
      <c r="A9" s="37" t="s">
        <v>23</v>
      </c>
      <c r="B9" s="38">
        <v>22.0</v>
      </c>
      <c r="C9" s="39">
        <v>30.0</v>
      </c>
      <c r="D9" s="39">
        <v>22.0</v>
      </c>
      <c r="E9" s="39">
        <v>22.0</v>
      </c>
      <c r="F9" s="39">
        <v>32.0</v>
      </c>
      <c r="G9" s="39">
        <v>46.0</v>
      </c>
      <c r="H9" s="39">
        <v>48.0</v>
      </c>
      <c r="I9" s="39">
        <v>44.0</v>
      </c>
      <c r="J9" s="39">
        <v>34.0</v>
      </c>
      <c r="K9" s="39">
        <v>23.0</v>
      </c>
      <c r="L9" s="39">
        <v>44.0</v>
      </c>
      <c r="M9" s="39">
        <f>13+36</f>
        <v>49</v>
      </c>
      <c r="N9" s="39"/>
      <c r="O9" s="39">
        <v>24.0</v>
      </c>
      <c r="P9" s="39">
        <v>68.0</v>
      </c>
      <c r="Q9" s="39">
        <v>56.0</v>
      </c>
      <c r="R9" s="39">
        <v>32.0</v>
      </c>
      <c r="S9" s="40">
        <v>44.0</v>
      </c>
      <c r="T9" s="41"/>
      <c r="U9" s="41"/>
      <c r="V9" s="41"/>
      <c r="W9" s="41"/>
      <c r="X9" s="41"/>
      <c r="Y9" s="41"/>
      <c r="Z9" s="41"/>
    </row>
    <row r="10">
      <c r="A10" s="42" t="s">
        <v>24</v>
      </c>
      <c r="B10" s="43">
        <f t="shared" ref="B10:S10" si="1">IFERROR(B9/B7, 0)</f>
        <v>0.07482993197</v>
      </c>
      <c r="C10" s="43">
        <f t="shared" si="1"/>
        <v>0.09803921569</v>
      </c>
      <c r="D10" s="43">
        <f t="shared" si="1"/>
        <v>0.08239700375</v>
      </c>
      <c r="E10" s="43">
        <f t="shared" si="1"/>
        <v>0.07885304659</v>
      </c>
      <c r="F10" s="43">
        <f t="shared" si="1"/>
        <v>0.1367521368</v>
      </c>
      <c r="G10" s="43">
        <f t="shared" si="1"/>
        <v>0.1654676259</v>
      </c>
      <c r="H10" s="43">
        <f t="shared" si="1"/>
        <v>0.1649484536</v>
      </c>
      <c r="I10" s="43">
        <f t="shared" si="1"/>
        <v>0.1803278689</v>
      </c>
      <c r="J10" s="43">
        <f t="shared" si="1"/>
        <v>0.1328125</v>
      </c>
      <c r="K10" s="43">
        <f t="shared" si="1"/>
        <v>0.1369047619</v>
      </c>
      <c r="L10" s="43">
        <f t="shared" si="1"/>
        <v>0.2018348624</v>
      </c>
      <c r="M10" s="43">
        <f t="shared" si="1"/>
        <v>0.1877394636</v>
      </c>
      <c r="N10" s="43">
        <f t="shared" si="1"/>
        <v>0</v>
      </c>
      <c r="O10" s="43">
        <f t="shared" si="1"/>
        <v>0.1137440758</v>
      </c>
      <c r="P10" s="43">
        <f t="shared" si="1"/>
        <v>0.1965317919</v>
      </c>
      <c r="Q10" s="43">
        <f t="shared" si="1"/>
        <v>0.2466960352</v>
      </c>
      <c r="R10" s="43">
        <f t="shared" si="1"/>
        <v>0.157635468</v>
      </c>
      <c r="S10" s="43">
        <f t="shared" si="1"/>
        <v>0.1705426357</v>
      </c>
      <c r="T10" s="45"/>
      <c r="U10" s="45"/>
      <c r="V10" s="45"/>
      <c r="W10" s="45"/>
      <c r="X10" s="45"/>
      <c r="Y10" s="45"/>
      <c r="Z10" s="45"/>
    </row>
    <row r="11">
      <c r="A11" s="40"/>
      <c r="B11" s="46"/>
      <c r="C11" s="40"/>
      <c r="D11" s="40"/>
      <c r="E11" s="40"/>
      <c r="F11" s="40"/>
      <c r="G11" s="40"/>
      <c r="H11" s="40"/>
      <c r="I11" s="40"/>
      <c r="J11" s="40"/>
      <c r="K11" s="40"/>
      <c r="L11" s="40"/>
      <c r="M11" s="40"/>
      <c r="N11" s="40"/>
      <c r="O11" s="40"/>
      <c r="P11" s="40"/>
      <c r="Q11" s="40"/>
      <c r="R11" s="40"/>
      <c r="S11" s="40"/>
      <c r="T11" s="47"/>
      <c r="U11" s="40"/>
      <c r="V11" s="40"/>
      <c r="W11" s="40"/>
      <c r="X11" s="40"/>
      <c r="Y11" s="40"/>
      <c r="Z11" s="40"/>
    </row>
    <row r="12">
      <c r="A12" s="48" t="s">
        <v>25</v>
      </c>
      <c r="B12" s="49">
        <v>59.0</v>
      </c>
      <c r="C12" s="50">
        <v>33.0</v>
      </c>
      <c r="D12" s="50">
        <v>27.0</v>
      </c>
      <c r="E12" s="50">
        <v>38.0</v>
      </c>
      <c r="F12" s="50">
        <v>36.0</v>
      </c>
      <c r="G12" s="50">
        <v>24.0</v>
      </c>
      <c r="H12" s="50">
        <v>69.0</v>
      </c>
      <c r="I12" s="50">
        <v>36.0</v>
      </c>
      <c r="J12" s="50">
        <v>58.0</v>
      </c>
      <c r="K12" s="50">
        <v>51.0</v>
      </c>
      <c r="L12" s="50">
        <v>24.0</v>
      </c>
      <c r="M12" s="50">
        <v>61.0</v>
      </c>
      <c r="N12" s="50"/>
      <c r="O12" s="50">
        <v>19.0</v>
      </c>
      <c r="P12" s="50">
        <v>53.0</v>
      </c>
      <c r="Q12" s="50">
        <v>44.0</v>
      </c>
      <c r="R12" s="50">
        <v>58.0</v>
      </c>
      <c r="S12" s="51">
        <v>44.0</v>
      </c>
      <c r="T12" s="52"/>
      <c r="U12" s="50"/>
      <c r="V12" s="50"/>
      <c r="W12" s="50"/>
      <c r="X12" s="50"/>
      <c r="Y12" s="50"/>
      <c r="Z12" s="50"/>
    </row>
    <row r="13">
      <c r="A13" s="53" t="s">
        <v>26</v>
      </c>
      <c r="B13" s="54">
        <v>70.0</v>
      </c>
      <c r="C13" s="55">
        <v>46.0</v>
      </c>
      <c r="D13" s="55">
        <v>55.0</v>
      </c>
      <c r="E13" s="55">
        <v>44.0</v>
      </c>
      <c r="F13" s="55">
        <v>34.0</v>
      </c>
      <c r="G13" s="55">
        <v>29.0</v>
      </c>
      <c r="H13" s="55">
        <v>49.0</v>
      </c>
      <c r="I13" s="55">
        <v>47.0</v>
      </c>
      <c r="J13" s="55">
        <v>45.0</v>
      </c>
      <c r="K13" s="55">
        <v>46.0</v>
      </c>
      <c r="L13" s="55">
        <v>24.0</v>
      </c>
      <c r="M13" s="55">
        <v>54.0</v>
      </c>
      <c r="N13" s="55"/>
      <c r="O13" s="55">
        <v>44.0</v>
      </c>
      <c r="P13" s="55">
        <v>44.0</v>
      </c>
      <c r="Q13" s="55">
        <v>48.0</v>
      </c>
      <c r="R13" s="55">
        <v>38.0</v>
      </c>
      <c r="S13" s="56">
        <v>40.0</v>
      </c>
      <c r="T13" s="57"/>
      <c r="U13" s="55"/>
      <c r="V13" s="55"/>
      <c r="W13" s="55"/>
      <c r="X13" s="55"/>
      <c r="Y13" s="55"/>
      <c r="Z13" s="55"/>
    </row>
    <row r="14">
      <c r="A14" s="58" t="s">
        <v>27</v>
      </c>
      <c r="B14" s="59">
        <v>0.0</v>
      </c>
      <c r="C14" s="60">
        <v>1.0</v>
      </c>
      <c r="D14" s="60">
        <v>0.0</v>
      </c>
      <c r="E14" s="60">
        <v>2.0</v>
      </c>
      <c r="F14" s="60">
        <v>2.0</v>
      </c>
      <c r="G14" s="60">
        <v>25.0</v>
      </c>
      <c r="H14" s="60">
        <v>15.0</v>
      </c>
      <c r="I14" s="60">
        <v>11.0</v>
      </c>
      <c r="J14" s="60">
        <v>29.0</v>
      </c>
      <c r="K14" s="60">
        <v>5.0</v>
      </c>
      <c r="L14" s="60">
        <v>8.0</v>
      </c>
      <c r="M14" s="60">
        <f>13+24</f>
        <v>37</v>
      </c>
      <c r="N14" s="60"/>
      <c r="O14" s="60">
        <v>16.0</v>
      </c>
      <c r="P14" s="60">
        <v>26.0</v>
      </c>
      <c r="Q14" s="60">
        <v>8.0</v>
      </c>
      <c r="R14" s="60">
        <v>19.0</v>
      </c>
      <c r="S14" s="61">
        <v>28.0</v>
      </c>
      <c r="T14" s="62"/>
      <c r="U14" s="60"/>
      <c r="V14" s="60"/>
      <c r="W14" s="60"/>
      <c r="X14" s="60"/>
      <c r="Y14" s="60"/>
      <c r="Z14" s="60"/>
    </row>
    <row r="15">
      <c r="A15" s="56"/>
      <c r="B15" s="63"/>
      <c r="C15" s="56"/>
      <c r="D15" s="56"/>
      <c r="E15" s="56"/>
      <c r="F15" s="56"/>
      <c r="G15" s="56"/>
      <c r="H15" s="56"/>
      <c r="I15" s="56"/>
      <c r="J15" s="56"/>
      <c r="K15" s="56"/>
      <c r="L15" s="56"/>
      <c r="M15" s="56"/>
      <c r="N15" s="56"/>
      <c r="O15" s="56"/>
      <c r="P15" s="56"/>
      <c r="Q15" s="56"/>
      <c r="R15" s="56"/>
      <c r="S15" s="56"/>
      <c r="T15" s="64"/>
      <c r="U15" s="56"/>
      <c r="V15" s="56"/>
      <c r="W15" s="56"/>
      <c r="X15" s="56"/>
      <c r="Y15" s="56"/>
      <c r="Z15" s="56"/>
    </row>
    <row r="16">
      <c r="A16" s="65" t="s">
        <v>28</v>
      </c>
      <c r="B16" s="66"/>
      <c r="C16" s="65"/>
      <c r="D16" s="65"/>
      <c r="E16" s="65"/>
      <c r="F16" s="65"/>
      <c r="G16" s="65"/>
      <c r="H16" s="65"/>
      <c r="I16" s="65"/>
      <c r="J16" s="65"/>
      <c r="K16" s="65"/>
      <c r="L16" s="65"/>
      <c r="M16" s="65"/>
      <c r="N16" s="65"/>
      <c r="O16" s="65"/>
      <c r="P16" s="65"/>
      <c r="Q16" s="65"/>
      <c r="R16" s="65"/>
      <c r="S16" s="67"/>
      <c r="T16" s="68"/>
      <c r="U16" s="65"/>
      <c r="V16" s="65"/>
      <c r="W16" s="65"/>
      <c r="X16" s="65"/>
      <c r="Y16" s="65"/>
      <c r="Z16" s="65"/>
    </row>
    <row r="17">
      <c r="A17" s="65" t="s">
        <v>29</v>
      </c>
      <c r="B17" s="66"/>
      <c r="C17" s="65"/>
      <c r="D17" s="65"/>
      <c r="E17" s="65"/>
      <c r="F17" s="65"/>
      <c r="G17" s="65"/>
      <c r="H17" s="65"/>
      <c r="I17" s="65"/>
      <c r="J17" s="65"/>
      <c r="K17" s="65"/>
      <c r="L17" s="65"/>
      <c r="M17" s="65"/>
      <c r="N17" s="65"/>
      <c r="O17" s="65"/>
      <c r="P17" s="65"/>
      <c r="Q17" s="65"/>
      <c r="R17" s="65"/>
      <c r="S17" s="67"/>
      <c r="T17" s="68"/>
      <c r="U17" s="65"/>
      <c r="V17" s="65"/>
      <c r="W17" s="65"/>
      <c r="X17" s="65"/>
      <c r="Y17" s="65"/>
      <c r="Z17" s="65"/>
    </row>
    <row r="18">
      <c r="A18" s="69" t="s">
        <v>30</v>
      </c>
      <c r="B18" s="70">
        <v>193.0</v>
      </c>
      <c r="C18" s="69">
        <f>50+47+24+12+48</f>
        <v>181</v>
      </c>
      <c r="D18" s="69">
        <f>171+13</f>
        <v>184</v>
      </c>
      <c r="E18" s="69">
        <f>198+13</f>
        <v>211</v>
      </c>
      <c r="F18" s="69">
        <f>171-22-8+13</f>
        <v>154</v>
      </c>
      <c r="G18" s="69">
        <f>8+116+21</f>
        <v>145</v>
      </c>
      <c r="H18" s="69">
        <v>175.0</v>
      </c>
      <c r="I18" s="69">
        <f>85+8</f>
        <v>93</v>
      </c>
      <c r="J18" s="69">
        <f>21+128+5</f>
        <v>154</v>
      </c>
      <c r="K18" s="69">
        <v>109.0</v>
      </c>
      <c r="L18" s="69">
        <v>103.0</v>
      </c>
      <c r="M18" s="69">
        <f>13+106+3</f>
        <v>122</v>
      </c>
      <c r="N18" s="69"/>
      <c r="O18" s="69">
        <v>44.0</v>
      </c>
      <c r="P18" s="69">
        <v>161.0</v>
      </c>
      <c r="Q18" s="69">
        <v>114.0</v>
      </c>
      <c r="R18" s="69">
        <v>141.0</v>
      </c>
      <c r="S18" s="74">
        <v>106.0</v>
      </c>
      <c r="T18" s="71">
        <v>87.0</v>
      </c>
      <c r="U18" s="69"/>
      <c r="V18" s="69"/>
      <c r="W18" s="69"/>
      <c r="X18" s="69"/>
      <c r="Y18" s="69"/>
      <c r="Z18" s="72"/>
      <c r="AA18" s="73"/>
      <c r="AB18" s="73"/>
      <c r="AC18" s="73"/>
      <c r="AD18" s="73"/>
      <c r="AE18" s="73"/>
      <c r="AF18" s="73"/>
      <c r="AG18" s="73"/>
      <c r="AH18" s="73"/>
      <c r="AI18" s="73"/>
      <c r="AJ18" s="73"/>
      <c r="AK18" s="73"/>
      <c r="AL18" s="73"/>
      <c r="AM18" s="73"/>
      <c r="AN18" s="73"/>
      <c r="AO18" s="73"/>
    </row>
    <row r="19">
      <c r="A19" s="74" t="s">
        <v>31</v>
      </c>
      <c r="B19" s="75">
        <v>204.0</v>
      </c>
      <c r="C19" s="74">
        <f>50+47+12+24+12+48</f>
        <v>193</v>
      </c>
      <c r="D19" s="74">
        <v>194.0</v>
      </c>
      <c r="E19" s="74">
        <v>244.0</v>
      </c>
      <c r="F19" s="74">
        <v>187.0</v>
      </c>
      <c r="G19" s="74">
        <f>125+21</f>
        <v>146</v>
      </c>
      <c r="H19" s="74">
        <v>177.0</v>
      </c>
      <c r="I19" s="74">
        <v>98.0</v>
      </c>
      <c r="J19" s="74">
        <f>21+170+5</f>
        <v>196</v>
      </c>
      <c r="K19" s="74">
        <v>128.0</v>
      </c>
      <c r="L19" s="74">
        <v>103.0</v>
      </c>
      <c r="M19" s="74">
        <f>13+126+3</f>
        <v>142</v>
      </c>
      <c r="N19" s="74"/>
      <c r="O19" s="74">
        <v>60.0</v>
      </c>
      <c r="P19" s="69">
        <v>182.0</v>
      </c>
      <c r="Q19" s="74">
        <v>132.0</v>
      </c>
      <c r="R19" s="74">
        <v>170.0</v>
      </c>
      <c r="S19" s="74">
        <v>127.0</v>
      </c>
      <c r="T19" s="76">
        <v>111.0</v>
      </c>
      <c r="U19" s="74"/>
      <c r="V19" s="74"/>
      <c r="W19" s="74"/>
      <c r="X19" s="74"/>
      <c r="Y19" s="74"/>
      <c r="Z19" s="77"/>
      <c r="AA19" s="78"/>
      <c r="AB19" s="78"/>
      <c r="AC19" s="78"/>
      <c r="AD19" s="78"/>
      <c r="AE19" s="78"/>
      <c r="AF19" s="78"/>
      <c r="AG19" s="78"/>
      <c r="AH19" s="78"/>
      <c r="AI19" s="78"/>
      <c r="AJ19" s="78"/>
      <c r="AK19" s="78"/>
      <c r="AL19" s="78"/>
      <c r="AM19" s="78"/>
      <c r="AN19" s="78"/>
      <c r="AO19" s="78"/>
    </row>
    <row r="20">
      <c r="A20" s="69" t="s">
        <v>32</v>
      </c>
      <c r="B20" s="70">
        <v>99.0</v>
      </c>
      <c r="C20" s="69">
        <f>50+13+8+12+17</f>
        <v>100</v>
      </c>
      <c r="D20" s="69">
        <v>147.0</v>
      </c>
      <c r="E20" s="69">
        <f>23+5+47+61+21</f>
        <v>157</v>
      </c>
      <c r="F20" s="69">
        <f>141-18</f>
        <v>123</v>
      </c>
      <c r="G20" s="69">
        <f>100-26</f>
        <v>74</v>
      </c>
      <c r="H20" s="69">
        <f>13+69</f>
        <v>82</v>
      </c>
      <c r="I20" s="69">
        <v>85.0</v>
      </c>
      <c r="J20" s="69">
        <f>93-8+21+5</f>
        <v>111</v>
      </c>
      <c r="K20" s="69">
        <f>94-8</f>
        <v>86</v>
      </c>
      <c r="L20" s="69">
        <v>60.0</v>
      </c>
      <c r="M20" s="69">
        <v>84.0</v>
      </c>
      <c r="N20" s="69"/>
      <c r="O20" s="69">
        <v>34.0</v>
      </c>
      <c r="P20" s="69">
        <v>95.0</v>
      </c>
      <c r="Q20" s="69">
        <v>65.0</v>
      </c>
      <c r="R20" s="69">
        <v>101.0</v>
      </c>
      <c r="S20" s="69">
        <v>66.0</v>
      </c>
      <c r="T20" s="71">
        <v>29.0</v>
      </c>
      <c r="U20" s="69"/>
      <c r="V20" s="69"/>
      <c r="W20" s="69"/>
      <c r="X20" s="69"/>
      <c r="Y20" s="69"/>
      <c r="Z20" s="72"/>
      <c r="AA20" s="73"/>
      <c r="AB20" s="73"/>
      <c r="AC20" s="73"/>
      <c r="AD20" s="73"/>
      <c r="AE20" s="73"/>
      <c r="AF20" s="73"/>
      <c r="AG20" s="73"/>
      <c r="AH20" s="73"/>
      <c r="AI20" s="73"/>
      <c r="AJ20" s="73"/>
      <c r="AK20" s="73"/>
      <c r="AL20" s="73"/>
      <c r="AM20" s="73"/>
      <c r="AN20" s="73"/>
      <c r="AO20" s="73"/>
    </row>
    <row r="21">
      <c r="A21" s="79" t="s">
        <v>33</v>
      </c>
      <c r="B21" s="80">
        <v>86.0</v>
      </c>
      <c r="C21" s="80">
        <f>29+39+8</f>
        <v>76</v>
      </c>
      <c r="D21" s="80">
        <v>73.0</v>
      </c>
      <c r="E21" s="80">
        <v>34.0</v>
      </c>
      <c r="F21" s="79">
        <f>56+8-13</f>
        <v>51</v>
      </c>
      <c r="G21" s="79">
        <f>50+21+24+21+8+16+3</f>
        <v>143</v>
      </c>
      <c r="H21" s="79">
        <v>127.0</v>
      </c>
      <c r="I21" s="79">
        <v>157.0</v>
      </c>
      <c r="J21" s="79">
        <v>61.0</v>
      </c>
      <c r="K21" s="79">
        <v>40.0</v>
      </c>
      <c r="L21" s="79">
        <v>89.0</v>
      </c>
      <c r="M21" s="79">
        <v>135.0</v>
      </c>
      <c r="N21" s="79"/>
      <c r="O21" s="79">
        <v>135.0</v>
      </c>
      <c r="P21" s="79">
        <v>133.0</v>
      </c>
      <c r="Q21" s="79">
        <v>90.0</v>
      </c>
      <c r="R21" s="79">
        <v>27.0</v>
      </c>
      <c r="S21" s="81">
        <v>115.0</v>
      </c>
      <c r="T21" s="79">
        <v>82.0</v>
      </c>
      <c r="U21" s="79"/>
      <c r="V21" s="79"/>
      <c r="W21" s="79"/>
      <c r="X21" s="79"/>
      <c r="Y21" s="79"/>
      <c r="Z21" s="79"/>
    </row>
    <row r="22">
      <c r="A22" s="82" t="s">
        <v>34</v>
      </c>
      <c r="B22" s="83">
        <v>244.0</v>
      </c>
      <c r="C22" s="83">
        <f>232-21</f>
        <v>211</v>
      </c>
      <c r="D22" s="85">
        <v>238.0</v>
      </c>
      <c r="E22" s="85">
        <v>202.0</v>
      </c>
      <c r="F22" s="84">
        <f>202-14</f>
        <v>188</v>
      </c>
      <c r="G22" s="84">
        <f>232-5</f>
        <v>227</v>
      </c>
      <c r="H22" s="85">
        <v>259.0</v>
      </c>
      <c r="I22" s="85">
        <v>190.0</v>
      </c>
      <c r="J22" s="84">
        <f>200-24</f>
        <v>176</v>
      </c>
      <c r="K22" s="85">
        <v>141.0</v>
      </c>
      <c r="L22" s="85">
        <v>167.0</v>
      </c>
      <c r="M22" s="85">
        <v>211.0</v>
      </c>
      <c r="N22" s="84"/>
      <c r="O22" s="85">
        <v>176.0</v>
      </c>
      <c r="P22" s="85">
        <v>233.0</v>
      </c>
      <c r="Q22" s="85">
        <v>157.0</v>
      </c>
      <c r="R22" s="85">
        <v>126.0</v>
      </c>
      <c r="S22" s="85">
        <v>148.0</v>
      </c>
      <c r="T22" s="86">
        <v>114.0</v>
      </c>
      <c r="U22" s="85"/>
      <c r="V22" s="85"/>
      <c r="W22" s="85"/>
      <c r="X22" s="85"/>
      <c r="Y22" s="85"/>
      <c r="Z22" s="87"/>
      <c r="AA22" s="87"/>
      <c r="AB22" s="88"/>
      <c r="AC22" s="88"/>
      <c r="AD22" s="88"/>
      <c r="AE22" s="88"/>
      <c r="AF22" s="88"/>
      <c r="AG22" s="88"/>
      <c r="AH22" s="88"/>
      <c r="AI22" s="88"/>
      <c r="AJ22" s="88"/>
      <c r="AK22" s="88"/>
      <c r="AL22" s="89"/>
      <c r="AM22" s="88"/>
      <c r="AN22" s="88"/>
      <c r="AO22" s="88"/>
    </row>
    <row r="23" ht="162.0" customHeight="1">
      <c r="A23" s="90" t="s">
        <v>35</v>
      </c>
      <c r="B23" s="664" t="s">
        <v>1222</v>
      </c>
      <c r="C23" s="664" t="s">
        <v>1223</v>
      </c>
      <c r="D23" s="664" t="s">
        <v>1224</v>
      </c>
      <c r="E23" s="396" t="s">
        <v>1225</v>
      </c>
      <c r="F23" s="396" t="s">
        <v>1226</v>
      </c>
      <c r="G23" s="664" t="s">
        <v>1227</v>
      </c>
      <c r="H23" s="396" t="s">
        <v>1228</v>
      </c>
      <c r="I23" s="396" t="s">
        <v>1229</v>
      </c>
      <c r="J23" s="396" t="s">
        <v>1229</v>
      </c>
      <c r="K23" s="664" t="s">
        <v>1230</v>
      </c>
      <c r="L23" s="664" t="s">
        <v>1231</v>
      </c>
      <c r="M23" s="396" t="s">
        <v>1232</v>
      </c>
      <c r="N23" s="91"/>
      <c r="O23" s="727" t="s">
        <v>1233</v>
      </c>
      <c r="P23" s="396" t="s">
        <v>1234</v>
      </c>
      <c r="Q23" s="728" t="s">
        <v>1235</v>
      </c>
      <c r="R23" s="664" t="s">
        <v>1236</v>
      </c>
      <c r="S23" s="396" t="s">
        <v>1237</v>
      </c>
      <c r="T23" s="93"/>
      <c r="U23" s="91"/>
      <c r="V23" s="91"/>
      <c r="W23" s="91"/>
      <c r="X23" s="91"/>
      <c r="Y23" s="91"/>
      <c r="Z23" s="91"/>
      <c r="AA23" s="94"/>
      <c r="AB23" s="95"/>
      <c r="AC23" s="95"/>
      <c r="AD23" s="95"/>
      <c r="AE23" s="95"/>
      <c r="AF23" s="95"/>
      <c r="AG23" s="95"/>
      <c r="AH23" s="95"/>
      <c r="AI23" s="95"/>
      <c r="AJ23" s="95"/>
      <c r="AK23" s="95"/>
      <c r="AL23" s="95"/>
      <c r="AM23" s="95"/>
      <c r="AN23" s="95"/>
      <c r="AO23" s="95"/>
    </row>
    <row r="24">
      <c r="A24" s="96" t="s">
        <v>36</v>
      </c>
      <c r="B24" s="97">
        <v>1.0</v>
      </c>
      <c r="C24" s="97">
        <v>1.0</v>
      </c>
      <c r="D24" s="97">
        <v>1.0</v>
      </c>
      <c r="E24" s="98">
        <v>0.0</v>
      </c>
      <c r="F24" s="98">
        <v>0.0</v>
      </c>
      <c r="G24" s="97">
        <v>1.0</v>
      </c>
      <c r="H24" s="98">
        <v>0.0</v>
      </c>
      <c r="I24" s="98">
        <v>0.0</v>
      </c>
      <c r="J24" s="98">
        <v>0.0</v>
      </c>
      <c r="K24" s="97">
        <v>1.0</v>
      </c>
      <c r="L24" s="97">
        <v>1.0</v>
      </c>
      <c r="M24" s="98">
        <v>0.0</v>
      </c>
      <c r="N24" s="98">
        <v>0.0</v>
      </c>
      <c r="O24" s="98">
        <v>0.0</v>
      </c>
      <c r="P24" s="98">
        <v>0.0</v>
      </c>
      <c r="Q24" s="98">
        <v>0.0</v>
      </c>
      <c r="R24" s="97">
        <v>1.0</v>
      </c>
      <c r="S24" s="98">
        <v>0.0</v>
      </c>
      <c r="T24" s="98">
        <v>0.0</v>
      </c>
      <c r="U24" s="98">
        <v>0.0</v>
      </c>
      <c r="V24" s="98">
        <v>0.0</v>
      </c>
      <c r="W24" s="98">
        <v>0.0</v>
      </c>
      <c r="X24" s="98">
        <v>0.0</v>
      </c>
      <c r="Y24" s="98">
        <v>0.0</v>
      </c>
      <c r="Z24" s="98">
        <v>0.0</v>
      </c>
      <c r="AA24" s="99"/>
      <c r="AB24" s="100"/>
      <c r="AC24" s="100"/>
      <c r="AD24" s="100"/>
      <c r="AE24" s="100"/>
      <c r="AF24" s="100"/>
      <c r="AG24" s="100"/>
      <c r="AH24" s="100"/>
      <c r="AI24" s="100"/>
      <c r="AJ24" s="100"/>
      <c r="AK24" s="100"/>
      <c r="AL24" s="100"/>
      <c r="AM24" s="100"/>
      <c r="AN24" s="100"/>
      <c r="AO24" s="100"/>
    </row>
    <row r="25">
      <c r="A25" s="101" t="s">
        <v>37</v>
      </c>
      <c r="B25" s="102">
        <f t="shared" ref="B25:T25" si="2">IFERROR(B19/B8, 0)</f>
        <v>0.7786259542</v>
      </c>
      <c r="C25" s="102">
        <f t="shared" si="2"/>
        <v>0.8391304348</v>
      </c>
      <c r="D25" s="102">
        <f t="shared" si="2"/>
        <v>0.7950819672</v>
      </c>
      <c r="E25" s="102">
        <f t="shared" si="2"/>
        <v>1.119266055</v>
      </c>
      <c r="F25" s="102">
        <f t="shared" si="2"/>
        <v>0.9257425743</v>
      </c>
      <c r="G25" s="102">
        <f t="shared" si="2"/>
        <v>0.6293103448</v>
      </c>
      <c r="H25" s="102">
        <f t="shared" si="2"/>
        <v>0.6704545455</v>
      </c>
      <c r="I25" s="102">
        <f t="shared" si="2"/>
        <v>0.4711538462</v>
      </c>
      <c r="J25" s="102">
        <f t="shared" si="2"/>
        <v>0.98</v>
      </c>
      <c r="K25" s="102">
        <f t="shared" si="2"/>
        <v>0.9078014184</v>
      </c>
      <c r="L25" s="102">
        <f t="shared" si="2"/>
        <v>0.591954023</v>
      </c>
      <c r="M25" s="102">
        <f t="shared" si="2"/>
        <v>0.6339285714</v>
      </c>
      <c r="N25" s="102">
        <f t="shared" si="2"/>
        <v>0</v>
      </c>
      <c r="O25" s="102">
        <f t="shared" si="2"/>
        <v>0.3157894737</v>
      </c>
      <c r="P25" s="102">
        <f t="shared" si="2"/>
        <v>0.7222222222</v>
      </c>
      <c r="Q25" s="102">
        <f t="shared" si="2"/>
        <v>0.8098159509</v>
      </c>
      <c r="R25" s="102">
        <f t="shared" si="2"/>
        <v>0.9941520468</v>
      </c>
      <c r="S25" s="102">
        <f t="shared" si="2"/>
        <v>0.6256157635</v>
      </c>
      <c r="T25" s="102">
        <f t="shared" si="2"/>
        <v>0.6453488372</v>
      </c>
      <c r="U25" s="103"/>
      <c r="V25" s="103"/>
      <c r="W25" s="103"/>
      <c r="X25" s="103"/>
      <c r="Y25" s="103"/>
      <c r="Z25" s="103"/>
    </row>
    <row r="26">
      <c r="A26" s="105" t="s">
        <v>38</v>
      </c>
      <c r="B26" s="106">
        <f t="shared" ref="B26:T26" si="3">IFERROR(B12/B18, 0)</f>
        <v>0.3056994819</v>
      </c>
      <c r="C26" s="106">
        <f t="shared" si="3"/>
        <v>0.182320442</v>
      </c>
      <c r="D26" s="106">
        <f t="shared" si="3"/>
        <v>0.1467391304</v>
      </c>
      <c r="E26" s="106">
        <f t="shared" si="3"/>
        <v>0.1800947867</v>
      </c>
      <c r="F26" s="106">
        <f t="shared" si="3"/>
        <v>0.2337662338</v>
      </c>
      <c r="G26" s="106">
        <f t="shared" si="3"/>
        <v>0.1655172414</v>
      </c>
      <c r="H26" s="106">
        <f t="shared" si="3"/>
        <v>0.3942857143</v>
      </c>
      <c r="I26" s="106">
        <f t="shared" si="3"/>
        <v>0.3870967742</v>
      </c>
      <c r="J26" s="106">
        <f t="shared" si="3"/>
        <v>0.3766233766</v>
      </c>
      <c r="K26" s="106">
        <f t="shared" si="3"/>
        <v>0.4678899083</v>
      </c>
      <c r="L26" s="106">
        <f t="shared" si="3"/>
        <v>0.2330097087</v>
      </c>
      <c r="M26" s="106">
        <f t="shared" si="3"/>
        <v>0.5</v>
      </c>
      <c r="N26" s="106">
        <f t="shared" si="3"/>
        <v>0</v>
      </c>
      <c r="O26" s="106">
        <f t="shared" si="3"/>
        <v>0.4318181818</v>
      </c>
      <c r="P26" s="106">
        <f t="shared" si="3"/>
        <v>0.3291925466</v>
      </c>
      <c r="Q26" s="106">
        <f t="shared" si="3"/>
        <v>0.3859649123</v>
      </c>
      <c r="R26" s="106">
        <f t="shared" si="3"/>
        <v>0.4113475177</v>
      </c>
      <c r="S26" s="106">
        <f t="shared" si="3"/>
        <v>0.4150943396</v>
      </c>
      <c r="T26" s="106">
        <f t="shared" si="3"/>
        <v>0</v>
      </c>
      <c r="U26" s="107"/>
      <c r="V26" s="107"/>
      <c r="W26" s="107"/>
      <c r="X26" s="107"/>
      <c r="Y26" s="107"/>
      <c r="Z26" s="107"/>
    </row>
    <row r="27">
      <c r="A27" s="109" t="s">
        <v>39</v>
      </c>
      <c r="B27" s="110">
        <f t="shared" ref="B27:T27" si="4">IFERROR(B20/B18, 0)</f>
        <v>0.5129533679</v>
      </c>
      <c r="C27" s="110">
        <f t="shared" si="4"/>
        <v>0.5524861878</v>
      </c>
      <c r="D27" s="110">
        <f t="shared" si="4"/>
        <v>0.7989130435</v>
      </c>
      <c r="E27" s="110">
        <f t="shared" si="4"/>
        <v>0.7440758294</v>
      </c>
      <c r="F27" s="110">
        <f t="shared" si="4"/>
        <v>0.7987012987</v>
      </c>
      <c r="G27" s="110">
        <f t="shared" si="4"/>
        <v>0.5103448276</v>
      </c>
      <c r="H27" s="110">
        <f t="shared" si="4"/>
        <v>0.4685714286</v>
      </c>
      <c r="I27" s="110">
        <f t="shared" si="4"/>
        <v>0.9139784946</v>
      </c>
      <c r="J27" s="110">
        <f t="shared" si="4"/>
        <v>0.7207792208</v>
      </c>
      <c r="K27" s="110">
        <f t="shared" si="4"/>
        <v>0.7889908257</v>
      </c>
      <c r="L27" s="110">
        <f t="shared" si="4"/>
        <v>0.5825242718</v>
      </c>
      <c r="M27" s="110">
        <f t="shared" si="4"/>
        <v>0.6885245902</v>
      </c>
      <c r="N27" s="110">
        <f t="shared" si="4"/>
        <v>0</v>
      </c>
      <c r="O27" s="110">
        <f t="shared" si="4"/>
        <v>0.7727272727</v>
      </c>
      <c r="P27" s="110">
        <f t="shared" si="4"/>
        <v>0.5900621118</v>
      </c>
      <c r="Q27" s="110">
        <f t="shared" si="4"/>
        <v>0.5701754386</v>
      </c>
      <c r="R27" s="110">
        <f t="shared" si="4"/>
        <v>0.7163120567</v>
      </c>
      <c r="S27" s="110">
        <f t="shared" si="4"/>
        <v>0.6226415094</v>
      </c>
      <c r="T27" s="110">
        <f t="shared" si="4"/>
        <v>0.3333333333</v>
      </c>
      <c r="U27" s="110"/>
      <c r="V27" s="110"/>
      <c r="W27" s="110"/>
      <c r="X27" s="110"/>
      <c r="Y27" s="110"/>
      <c r="Z27" s="110"/>
      <c r="AA27" s="112"/>
      <c r="AB27" s="113"/>
      <c r="AC27" s="113"/>
      <c r="AD27" s="113"/>
      <c r="AE27" s="113"/>
      <c r="AF27" s="113"/>
      <c r="AG27" s="113"/>
      <c r="AH27" s="113"/>
      <c r="AI27" s="113"/>
      <c r="AJ27" s="113"/>
      <c r="AK27" s="113"/>
      <c r="AL27" s="113"/>
      <c r="AM27" s="113"/>
      <c r="AN27" s="113"/>
      <c r="AO27" s="113"/>
    </row>
    <row r="28">
      <c r="A28" s="114" t="s">
        <v>40</v>
      </c>
      <c r="B28" s="115">
        <f t="shared" ref="B28:T28" si="5">B22/B8</f>
        <v>0.9312977099</v>
      </c>
      <c r="C28" s="115">
        <f t="shared" si="5"/>
        <v>0.9173913043</v>
      </c>
      <c r="D28" s="115">
        <f t="shared" si="5"/>
        <v>0.9754098361</v>
      </c>
      <c r="E28" s="115">
        <f t="shared" si="5"/>
        <v>0.9266055046</v>
      </c>
      <c r="F28" s="115">
        <f t="shared" si="5"/>
        <v>0.9306930693</v>
      </c>
      <c r="G28" s="115">
        <f t="shared" si="5"/>
        <v>0.9784482759</v>
      </c>
      <c r="H28" s="115">
        <f t="shared" si="5"/>
        <v>0.9810606061</v>
      </c>
      <c r="I28" s="115">
        <f t="shared" si="5"/>
        <v>0.9134615385</v>
      </c>
      <c r="J28" s="115">
        <f t="shared" si="5"/>
        <v>0.88</v>
      </c>
      <c r="K28" s="115">
        <f t="shared" si="5"/>
        <v>1</v>
      </c>
      <c r="L28" s="115">
        <f t="shared" si="5"/>
        <v>0.9597701149</v>
      </c>
      <c r="M28" s="115">
        <f t="shared" si="5"/>
        <v>0.9419642857</v>
      </c>
      <c r="N28" s="115" t="str">
        <f t="shared" si="5"/>
        <v>#DIV/0!</v>
      </c>
      <c r="O28" s="115">
        <f t="shared" si="5"/>
        <v>0.9263157895</v>
      </c>
      <c r="P28" s="115">
        <f t="shared" si="5"/>
        <v>0.9246031746</v>
      </c>
      <c r="Q28" s="115">
        <f t="shared" si="5"/>
        <v>0.963190184</v>
      </c>
      <c r="R28" s="115">
        <f t="shared" si="5"/>
        <v>0.7368421053</v>
      </c>
      <c r="S28" s="115">
        <f t="shared" si="5"/>
        <v>0.7290640394</v>
      </c>
      <c r="T28" s="115">
        <f t="shared" si="5"/>
        <v>0.6627906977</v>
      </c>
      <c r="U28" s="115"/>
      <c r="V28" s="115"/>
      <c r="W28" s="115"/>
      <c r="X28" s="115"/>
      <c r="Y28" s="115"/>
      <c r="Z28" s="115"/>
      <c r="AA28" s="112"/>
      <c r="AB28" s="113"/>
      <c r="AC28" s="113"/>
      <c r="AD28" s="113"/>
      <c r="AE28" s="113"/>
      <c r="AF28" s="113"/>
      <c r="AG28" s="113"/>
      <c r="AH28" s="113"/>
      <c r="AI28" s="113"/>
      <c r="AJ28" s="113"/>
      <c r="AK28" s="113"/>
      <c r="AL28" s="113"/>
      <c r="AM28" s="113"/>
      <c r="AN28" s="113"/>
      <c r="AO28" s="113"/>
    </row>
    <row r="29">
      <c r="A29" s="117" t="s">
        <v>41</v>
      </c>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21"/>
      <c r="AB29" s="121"/>
      <c r="AC29" s="121"/>
      <c r="AD29" s="121"/>
      <c r="AE29" s="121"/>
      <c r="AF29" s="99"/>
      <c r="AG29" s="99"/>
      <c r="AH29" s="99"/>
      <c r="AI29" s="99"/>
      <c r="AJ29" s="99"/>
      <c r="AK29" s="99"/>
      <c r="AL29" s="99"/>
      <c r="AM29" s="99"/>
      <c r="AN29" s="99"/>
      <c r="AO29" s="99"/>
    </row>
    <row r="30">
      <c r="A30" s="184" t="s">
        <v>141</v>
      </c>
      <c r="B30" s="185">
        <f t="shared" ref="B30:Z30" si="6">B61/B8</f>
        <v>0</v>
      </c>
      <c r="C30" s="185">
        <f t="shared" si="6"/>
        <v>0</v>
      </c>
      <c r="D30" s="185">
        <f t="shared" si="6"/>
        <v>0</v>
      </c>
      <c r="E30" s="185">
        <f t="shared" si="6"/>
        <v>0</v>
      </c>
      <c r="F30" s="185">
        <f t="shared" si="6"/>
        <v>0</v>
      </c>
      <c r="G30" s="185">
        <f t="shared" si="6"/>
        <v>0</v>
      </c>
      <c r="H30" s="185">
        <f t="shared" si="6"/>
        <v>0</v>
      </c>
      <c r="I30" s="185">
        <f t="shared" si="6"/>
        <v>0</v>
      </c>
      <c r="J30" s="185">
        <f t="shared" si="6"/>
        <v>0</v>
      </c>
      <c r="K30" s="185">
        <f t="shared" si="6"/>
        <v>0</v>
      </c>
      <c r="L30" s="185">
        <f t="shared" si="6"/>
        <v>0</v>
      </c>
      <c r="M30" s="185">
        <f t="shared" si="6"/>
        <v>0</v>
      </c>
      <c r="N30" s="185" t="str">
        <f t="shared" si="6"/>
        <v>#DIV/0!</v>
      </c>
      <c r="O30" s="185">
        <f t="shared" si="6"/>
        <v>0</v>
      </c>
      <c r="P30" s="185">
        <f t="shared" si="6"/>
        <v>0</v>
      </c>
      <c r="Q30" s="185">
        <f t="shared" si="6"/>
        <v>0</v>
      </c>
      <c r="R30" s="185">
        <f t="shared" si="6"/>
        <v>0</v>
      </c>
      <c r="S30" s="185">
        <f t="shared" si="6"/>
        <v>0</v>
      </c>
      <c r="T30" s="185">
        <f t="shared" si="6"/>
        <v>0</v>
      </c>
      <c r="U30" s="185" t="str">
        <f t="shared" si="6"/>
        <v>#DIV/0!</v>
      </c>
      <c r="V30" s="185" t="str">
        <f t="shared" si="6"/>
        <v>#DIV/0!</v>
      </c>
      <c r="W30" s="185" t="str">
        <f t="shared" si="6"/>
        <v>#DIV/0!</v>
      </c>
      <c r="X30" s="185" t="str">
        <f t="shared" si="6"/>
        <v>#DIV/0!</v>
      </c>
      <c r="Y30" s="185" t="str">
        <f t="shared" si="6"/>
        <v>#DIV/0!</v>
      </c>
      <c r="Z30" s="185" t="str">
        <f t="shared" si="6"/>
        <v>#DIV/0!</v>
      </c>
      <c r="AA30" s="240"/>
      <c r="AB30" s="240"/>
      <c r="AC30" s="186"/>
      <c r="AD30" s="186"/>
      <c r="AE30" s="186"/>
      <c r="AF30" s="186"/>
      <c r="AG30" s="186"/>
      <c r="AH30" s="186"/>
      <c r="AI30" s="186"/>
      <c r="AJ30" s="186"/>
      <c r="AK30" s="186"/>
      <c r="AL30" s="186"/>
      <c r="AM30" s="186"/>
      <c r="AN30" s="186"/>
      <c r="AO30" s="186"/>
    </row>
    <row r="31">
      <c r="A31" s="187" t="s">
        <v>42</v>
      </c>
      <c r="B31" s="191">
        <v>0.1756</v>
      </c>
      <c r="C31" s="185">
        <f>107/C8</f>
        <v>0.4652173913</v>
      </c>
      <c r="D31" s="191">
        <v>0.3</v>
      </c>
      <c r="E31" s="191">
        <v>0.45</v>
      </c>
      <c r="F31" s="191">
        <v>0.38</v>
      </c>
      <c r="G31" s="191">
        <v>0.22</v>
      </c>
      <c r="H31" s="185">
        <f>95/264</f>
        <v>0.3598484848</v>
      </c>
      <c r="I31" s="191">
        <v>0.39</v>
      </c>
      <c r="J31" s="191">
        <v>0.35</v>
      </c>
      <c r="K31" s="191">
        <v>0.41</v>
      </c>
      <c r="L31" s="191">
        <v>0.3</v>
      </c>
      <c r="M31" s="191">
        <v>0.25</v>
      </c>
      <c r="N31" s="185">
        <v>0.0</v>
      </c>
      <c r="O31" s="191">
        <v>0.27</v>
      </c>
      <c r="P31" s="185">
        <f>86/252</f>
        <v>0.3412698413</v>
      </c>
      <c r="Q31" s="191">
        <v>0.55</v>
      </c>
      <c r="R31" s="191">
        <v>0.36</v>
      </c>
      <c r="S31" s="191">
        <v>0.21</v>
      </c>
      <c r="T31" s="191">
        <v>0.33</v>
      </c>
      <c r="U31" s="185">
        <v>0.0</v>
      </c>
      <c r="V31" s="185">
        <v>0.0</v>
      </c>
      <c r="W31" s="185">
        <v>0.0</v>
      </c>
      <c r="X31" s="185">
        <v>0.0</v>
      </c>
      <c r="Y31" s="185">
        <v>0.0</v>
      </c>
      <c r="Z31" s="185">
        <v>0.0</v>
      </c>
      <c r="AA31" s="188"/>
      <c r="AB31" s="189"/>
      <c r="AC31" s="189"/>
      <c r="AD31" s="189"/>
      <c r="AE31" s="189"/>
      <c r="AF31" s="147"/>
      <c r="AG31" s="147"/>
      <c r="AH31" s="147"/>
      <c r="AI31" s="147"/>
      <c r="AJ31" s="147"/>
      <c r="AK31" s="147"/>
      <c r="AL31" s="147"/>
      <c r="AM31" s="147"/>
      <c r="AN31" s="147"/>
      <c r="AO31" s="147"/>
    </row>
    <row r="32">
      <c r="A32" s="190" t="s">
        <v>43</v>
      </c>
      <c r="B32" s="191">
        <v>1.0</v>
      </c>
      <c r="C32" s="191">
        <v>1.0</v>
      </c>
      <c r="D32" s="191">
        <v>1.0</v>
      </c>
      <c r="E32" s="191">
        <v>1.0</v>
      </c>
      <c r="F32" s="191">
        <v>1.0</v>
      </c>
      <c r="G32" s="191">
        <v>1.0</v>
      </c>
      <c r="H32" s="191">
        <v>1.0</v>
      </c>
      <c r="I32" s="191">
        <v>1.0</v>
      </c>
      <c r="J32" s="191">
        <v>1.0</v>
      </c>
      <c r="K32" s="191">
        <v>1.0</v>
      </c>
      <c r="L32" s="191">
        <v>1.0</v>
      </c>
      <c r="M32" s="185">
        <v>0.0</v>
      </c>
      <c r="N32" s="185">
        <v>0.0</v>
      </c>
      <c r="O32" s="191">
        <v>1.0</v>
      </c>
      <c r="P32" s="191">
        <v>1.0</v>
      </c>
      <c r="Q32" s="191">
        <v>1.0</v>
      </c>
      <c r="R32" s="191">
        <v>1.0</v>
      </c>
      <c r="S32" s="191">
        <v>1.0</v>
      </c>
      <c r="T32" s="191">
        <v>1.0</v>
      </c>
      <c r="U32" s="185">
        <v>0.0</v>
      </c>
      <c r="V32" s="185">
        <v>0.0</v>
      </c>
      <c r="W32" s="185">
        <v>0.0</v>
      </c>
      <c r="X32" s="185">
        <v>0.0</v>
      </c>
      <c r="Y32" s="185">
        <v>0.0</v>
      </c>
      <c r="Z32" s="185">
        <v>0.0</v>
      </c>
      <c r="AA32" s="189"/>
      <c r="AB32" s="189"/>
      <c r="AC32" s="189"/>
      <c r="AD32" s="189"/>
      <c r="AE32" s="189"/>
      <c r="AF32" s="147"/>
      <c r="AG32" s="147"/>
      <c r="AH32" s="147"/>
      <c r="AI32" s="147"/>
      <c r="AJ32" s="147"/>
      <c r="AK32" s="147"/>
      <c r="AL32" s="147"/>
      <c r="AM32" s="147"/>
      <c r="AN32" s="147"/>
      <c r="AO32" s="147"/>
    </row>
    <row r="33">
      <c r="A33" s="729" t="s">
        <v>44</v>
      </c>
      <c r="B33" s="730">
        <f t="shared" ref="B33:Z33" si="7">(B24*0.7) + (IF(B31 &gt;= 30%, 1, 0)*0.15) + (B32*0.15)</f>
        <v>0.85</v>
      </c>
      <c r="C33" s="730">
        <f t="shared" si="7"/>
        <v>1</v>
      </c>
      <c r="D33" s="730">
        <f t="shared" si="7"/>
        <v>1</v>
      </c>
      <c r="E33" s="730">
        <f t="shared" si="7"/>
        <v>0.3</v>
      </c>
      <c r="F33" s="730">
        <f t="shared" si="7"/>
        <v>0.3</v>
      </c>
      <c r="G33" s="730">
        <f t="shared" si="7"/>
        <v>0.85</v>
      </c>
      <c r="H33" s="730">
        <f t="shared" si="7"/>
        <v>0.3</v>
      </c>
      <c r="I33" s="730">
        <f t="shared" si="7"/>
        <v>0.3</v>
      </c>
      <c r="J33" s="730">
        <f t="shared" si="7"/>
        <v>0.3</v>
      </c>
      <c r="K33" s="730">
        <f t="shared" si="7"/>
        <v>1</v>
      </c>
      <c r="L33" s="730">
        <f t="shared" si="7"/>
        <v>1</v>
      </c>
      <c r="M33" s="730">
        <f t="shared" si="7"/>
        <v>0</v>
      </c>
      <c r="N33" s="730">
        <f t="shared" si="7"/>
        <v>0</v>
      </c>
      <c r="O33" s="730">
        <f t="shared" si="7"/>
        <v>0.15</v>
      </c>
      <c r="P33" s="730">
        <f t="shared" si="7"/>
        <v>0.3</v>
      </c>
      <c r="Q33" s="730">
        <f t="shared" si="7"/>
        <v>0.3</v>
      </c>
      <c r="R33" s="730">
        <f t="shared" si="7"/>
        <v>1</v>
      </c>
      <c r="S33" s="730">
        <f t="shared" si="7"/>
        <v>0.15</v>
      </c>
      <c r="T33" s="730">
        <f t="shared" si="7"/>
        <v>0.3</v>
      </c>
      <c r="U33" s="730">
        <f t="shared" si="7"/>
        <v>0</v>
      </c>
      <c r="V33" s="730">
        <f t="shared" si="7"/>
        <v>0</v>
      </c>
      <c r="W33" s="730">
        <f t="shared" si="7"/>
        <v>0</v>
      </c>
      <c r="X33" s="730">
        <f t="shared" si="7"/>
        <v>0</v>
      </c>
      <c r="Y33" s="730">
        <f t="shared" si="7"/>
        <v>0</v>
      </c>
      <c r="Z33" s="730">
        <f t="shared" si="7"/>
        <v>0</v>
      </c>
      <c r="AA33" s="731"/>
      <c r="AB33" s="731"/>
      <c r="AC33" s="731"/>
      <c r="AD33" s="731"/>
      <c r="AE33" s="731"/>
      <c r="AF33" s="732"/>
      <c r="AG33" s="732"/>
      <c r="AH33" s="732"/>
      <c r="AI33" s="732"/>
      <c r="AJ33" s="732"/>
      <c r="AK33" s="732"/>
      <c r="AL33" s="732"/>
      <c r="AM33" s="732"/>
      <c r="AN33" s="147"/>
      <c r="AO33" s="147"/>
    </row>
    <row r="34">
      <c r="A34" s="193" t="s">
        <v>142</v>
      </c>
      <c r="B34" s="194"/>
      <c r="N34" s="730">
        <v>0.0</v>
      </c>
      <c r="O34" s="730">
        <v>0.15</v>
      </c>
      <c r="P34" s="730">
        <v>0.3</v>
      </c>
      <c r="Q34" s="730">
        <v>0.3</v>
      </c>
      <c r="R34" s="730">
        <v>1.0</v>
      </c>
      <c r="S34" s="730">
        <v>0.15</v>
      </c>
      <c r="T34" s="730">
        <v>0.15</v>
      </c>
    </row>
    <row r="35">
      <c r="A35" s="126" t="s">
        <v>45</v>
      </c>
      <c r="B35" s="127"/>
      <c r="C35" s="128"/>
      <c r="D35" s="128"/>
      <c r="E35" s="128"/>
      <c r="F35" s="128"/>
      <c r="G35" s="128"/>
      <c r="H35" s="128"/>
      <c r="I35" s="128"/>
      <c r="J35" s="128"/>
      <c r="K35" s="128"/>
      <c r="L35" s="128"/>
      <c r="M35" s="128"/>
      <c r="N35" s="128"/>
      <c r="O35" s="128"/>
      <c r="P35" s="128"/>
      <c r="Q35" s="128"/>
      <c r="R35" s="128"/>
      <c r="S35" s="128"/>
      <c r="T35" s="129"/>
      <c r="U35" s="128"/>
      <c r="V35" s="128"/>
      <c r="W35" s="128"/>
      <c r="X35" s="128"/>
      <c r="Y35" s="128"/>
      <c r="Z35" s="128"/>
      <c r="AA35" s="128"/>
      <c r="AB35" s="128"/>
      <c r="AC35" s="130"/>
      <c r="AD35" s="130"/>
      <c r="AE35" s="130"/>
      <c r="AF35" s="130"/>
      <c r="AG35" s="130"/>
      <c r="AH35" s="130"/>
      <c r="AI35" s="130"/>
      <c r="AJ35" s="130"/>
      <c r="AK35" s="130"/>
      <c r="AL35" s="130"/>
      <c r="AM35" s="130"/>
      <c r="AN35" s="130"/>
      <c r="AO35" s="130"/>
    </row>
    <row r="36">
      <c r="A36" s="131" t="s">
        <v>1238</v>
      </c>
      <c r="B36" s="132">
        <v>38.0</v>
      </c>
      <c r="C36" s="133">
        <v>51.0</v>
      </c>
      <c r="D36" s="133">
        <v>50.0</v>
      </c>
      <c r="E36" s="133">
        <v>50.0</v>
      </c>
      <c r="F36" s="133">
        <v>47.0</v>
      </c>
      <c r="G36" s="133">
        <v>63.0</v>
      </c>
      <c r="H36" s="133">
        <v>75.0</v>
      </c>
      <c r="I36" s="133">
        <v>61.0</v>
      </c>
      <c r="J36" s="133">
        <v>31.0</v>
      </c>
      <c r="K36" s="133">
        <v>8.0</v>
      </c>
      <c r="L36" s="133">
        <v>37.0</v>
      </c>
      <c r="M36" s="133">
        <v>43.0</v>
      </c>
      <c r="N36" s="133">
        <v>23.0</v>
      </c>
      <c r="O36" s="133">
        <v>56.0</v>
      </c>
      <c r="P36" s="133"/>
      <c r="Q36" s="133">
        <v>33.0</v>
      </c>
      <c r="R36" s="133">
        <v>33.0</v>
      </c>
      <c r="S36" s="199">
        <v>0.0</v>
      </c>
      <c r="T36" s="134">
        <v>0.0</v>
      </c>
      <c r="U36" s="133"/>
      <c r="V36" s="133"/>
      <c r="W36" s="133"/>
      <c r="X36" s="133"/>
      <c r="Y36" s="133"/>
      <c r="Z36" s="133"/>
      <c r="AA36" s="733">
        <f t="shared" ref="AA36:AA46" si="8">AVERAGE(B36:Z36)</f>
        <v>38.83333333</v>
      </c>
      <c r="AB36" s="733">
        <f t="shared" ref="AB36:AB46" si="9">SUM(B36:Z36)</f>
        <v>699</v>
      </c>
      <c r="AC36" s="130"/>
      <c r="AD36" s="130"/>
      <c r="AE36" s="130"/>
      <c r="AF36" s="130"/>
      <c r="AG36" s="130"/>
      <c r="AH36" s="130"/>
      <c r="AI36" s="130"/>
      <c r="AJ36" s="130"/>
      <c r="AK36" s="130"/>
      <c r="AL36" s="130"/>
      <c r="AM36" s="130"/>
      <c r="AN36" s="130"/>
      <c r="AO36" s="130"/>
    </row>
    <row r="37" ht="16.5" hidden="1" customHeight="1">
      <c r="A37" s="131" t="s">
        <v>1239</v>
      </c>
      <c r="B37" s="132">
        <v>44.0</v>
      </c>
      <c r="C37" s="133">
        <v>38.0</v>
      </c>
      <c r="D37" s="130"/>
      <c r="E37" s="130"/>
      <c r="F37" s="130"/>
      <c r="G37" s="130"/>
      <c r="H37" s="130"/>
      <c r="I37" s="130"/>
      <c r="J37" s="130"/>
      <c r="K37" s="130"/>
      <c r="L37" s="130"/>
      <c r="M37" s="130"/>
      <c r="N37" s="130"/>
      <c r="O37" s="130"/>
      <c r="P37" s="130"/>
      <c r="Q37" s="130"/>
      <c r="R37" s="130"/>
      <c r="T37" s="135"/>
      <c r="U37" s="130"/>
      <c r="V37" s="130"/>
      <c r="W37" s="130"/>
      <c r="X37" s="130"/>
      <c r="Y37" s="130"/>
      <c r="Z37" s="130"/>
      <c r="AA37" s="733">
        <f t="shared" si="8"/>
        <v>41</v>
      </c>
      <c r="AB37" s="733">
        <f t="shared" si="9"/>
        <v>82</v>
      </c>
      <c r="AC37" s="130"/>
      <c r="AD37" s="130"/>
      <c r="AE37" s="130"/>
      <c r="AF37" s="130"/>
      <c r="AG37" s="130"/>
      <c r="AH37" s="130"/>
      <c r="AI37" s="130"/>
      <c r="AJ37" s="130"/>
      <c r="AK37" s="130"/>
      <c r="AL37" s="130"/>
      <c r="AM37" s="130"/>
      <c r="AN37" s="130"/>
      <c r="AO37" s="130"/>
    </row>
    <row r="38">
      <c r="A38" s="131" t="s">
        <v>1240</v>
      </c>
      <c r="B38" s="132">
        <v>49.0</v>
      </c>
      <c r="C38" s="133">
        <v>37.0</v>
      </c>
      <c r="D38" s="133">
        <v>62.0</v>
      </c>
      <c r="E38" s="133">
        <v>53.0</v>
      </c>
      <c r="F38" s="133">
        <v>48.0</v>
      </c>
      <c r="G38" s="133">
        <v>55.0</v>
      </c>
      <c r="H38" s="133">
        <v>52.0</v>
      </c>
      <c r="I38" s="133">
        <v>39.0</v>
      </c>
      <c r="J38" s="133">
        <v>39.0</v>
      </c>
      <c r="K38" s="133">
        <v>42.0</v>
      </c>
      <c r="L38" s="133">
        <v>37.0</v>
      </c>
      <c r="M38" s="133">
        <v>58.0</v>
      </c>
      <c r="N38" s="133">
        <v>37.0</v>
      </c>
      <c r="O38" s="133">
        <v>29.0</v>
      </c>
      <c r="P38" s="133"/>
      <c r="Q38" s="133">
        <v>40.0</v>
      </c>
      <c r="R38" s="133">
        <v>10.0</v>
      </c>
      <c r="S38" s="199">
        <v>40.0</v>
      </c>
      <c r="T38" s="134">
        <v>0.0</v>
      </c>
      <c r="U38" s="133"/>
      <c r="V38" s="133"/>
      <c r="W38" s="133"/>
      <c r="X38" s="133"/>
      <c r="Y38" s="133"/>
      <c r="Z38" s="133"/>
      <c r="AA38" s="733">
        <f t="shared" si="8"/>
        <v>40.38888889</v>
      </c>
      <c r="AB38" s="733">
        <f t="shared" si="9"/>
        <v>727</v>
      </c>
      <c r="AC38" s="130"/>
      <c r="AD38" s="130"/>
      <c r="AE38" s="130"/>
      <c r="AF38" s="130"/>
      <c r="AG38" s="130"/>
      <c r="AH38" s="130"/>
      <c r="AI38" s="130"/>
      <c r="AJ38" s="130"/>
      <c r="AK38" s="130"/>
      <c r="AL38" s="130"/>
      <c r="AM38" s="130"/>
      <c r="AN38" s="130"/>
      <c r="AO38" s="130"/>
    </row>
    <row r="39">
      <c r="A39" s="131" t="s">
        <v>908</v>
      </c>
      <c r="B39" s="132">
        <v>34.0</v>
      </c>
      <c r="C39" s="133">
        <v>39.0</v>
      </c>
      <c r="D39" s="133">
        <v>56.0</v>
      </c>
      <c r="E39" s="133">
        <v>47.0</v>
      </c>
      <c r="F39" s="133">
        <v>45.0</v>
      </c>
      <c r="G39" s="133">
        <v>58.0</v>
      </c>
      <c r="H39" s="133">
        <v>69.0</v>
      </c>
      <c r="I39" s="133">
        <v>53.0</v>
      </c>
      <c r="J39" s="133">
        <v>49.0</v>
      </c>
      <c r="K39" s="133">
        <v>37.0</v>
      </c>
      <c r="L39" s="133">
        <v>28.0</v>
      </c>
      <c r="M39" s="133">
        <v>55.0</v>
      </c>
      <c r="N39" s="133">
        <v>47.0</v>
      </c>
      <c r="O39" s="133">
        <v>23.0</v>
      </c>
      <c r="P39" s="133"/>
      <c r="Q39" s="133">
        <v>30.0</v>
      </c>
      <c r="R39" s="133">
        <v>47.0</v>
      </c>
      <c r="S39" s="199">
        <v>33.0</v>
      </c>
      <c r="T39" s="134">
        <v>42.0</v>
      </c>
      <c r="U39" s="133"/>
      <c r="V39" s="133"/>
      <c r="W39" s="133"/>
      <c r="X39" s="133"/>
      <c r="Y39" s="133"/>
      <c r="Z39" s="133"/>
      <c r="AA39" s="733">
        <f t="shared" si="8"/>
        <v>44</v>
      </c>
      <c r="AB39" s="733">
        <f t="shared" si="9"/>
        <v>792</v>
      </c>
      <c r="AC39" s="130"/>
      <c r="AD39" s="130"/>
      <c r="AE39" s="130"/>
      <c r="AF39" s="130"/>
      <c r="AG39" s="130"/>
      <c r="AH39" s="130"/>
      <c r="AI39" s="130"/>
      <c r="AJ39" s="130"/>
      <c r="AK39" s="130"/>
      <c r="AL39" s="130"/>
      <c r="AM39" s="130"/>
      <c r="AN39" s="130"/>
      <c r="AO39" s="130"/>
    </row>
    <row r="40">
      <c r="A40" s="131" t="s">
        <v>1241</v>
      </c>
      <c r="B40" s="132">
        <v>41.0</v>
      </c>
      <c r="C40" s="133">
        <v>44.0</v>
      </c>
      <c r="D40" s="133">
        <v>70.0</v>
      </c>
      <c r="E40" s="133">
        <v>52.0</v>
      </c>
      <c r="F40" s="133">
        <v>56.0</v>
      </c>
      <c r="G40" s="133">
        <v>56.0</v>
      </c>
      <c r="H40" s="133">
        <v>52.0</v>
      </c>
      <c r="I40" s="133">
        <v>45.0</v>
      </c>
      <c r="J40" s="133">
        <v>38.0</v>
      </c>
      <c r="K40" s="133">
        <v>13.0</v>
      </c>
      <c r="L40" s="133">
        <v>39.0</v>
      </c>
      <c r="M40" s="133">
        <v>32.0</v>
      </c>
      <c r="N40" s="133">
        <v>21.0</v>
      </c>
      <c r="O40" s="133">
        <v>21.0</v>
      </c>
      <c r="P40" s="133"/>
      <c r="Q40" s="133">
        <v>33.0</v>
      </c>
      <c r="R40" s="133">
        <v>39.0</v>
      </c>
      <c r="S40" s="199">
        <v>35.0</v>
      </c>
      <c r="T40" s="134">
        <v>39.0</v>
      </c>
      <c r="U40" s="133"/>
      <c r="V40" s="133"/>
      <c r="W40" s="133"/>
      <c r="X40" s="133"/>
      <c r="Y40" s="133"/>
      <c r="Z40" s="133"/>
      <c r="AA40" s="733">
        <f t="shared" si="8"/>
        <v>40.33333333</v>
      </c>
      <c r="AB40" s="733">
        <f t="shared" si="9"/>
        <v>726</v>
      </c>
      <c r="AC40" s="130"/>
      <c r="AD40" s="130"/>
      <c r="AE40" s="130"/>
      <c r="AF40" s="130"/>
      <c r="AG40" s="130"/>
      <c r="AH40" s="130"/>
      <c r="AI40" s="130"/>
      <c r="AJ40" s="130"/>
      <c r="AK40" s="130"/>
      <c r="AL40" s="130"/>
      <c r="AM40" s="130"/>
      <c r="AN40" s="130"/>
      <c r="AO40" s="130"/>
    </row>
    <row r="41">
      <c r="A41" s="131" t="s">
        <v>759</v>
      </c>
      <c r="B41" s="132"/>
      <c r="C41" s="130"/>
      <c r="D41" s="130"/>
      <c r="E41" s="130"/>
      <c r="F41" s="130"/>
      <c r="G41" s="130"/>
      <c r="H41" s="130"/>
      <c r="I41" s="130"/>
      <c r="J41" s="133"/>
      <c r="K41" s="133">
        <v>36.0</v>
      </c>
      <c r="L41" s="133">
        <v>20.0</v>
      </c>
      <c r="M41" s="133">
        <v>23.0</v>
      </c>
      <c r="N41" s="133">
        <v>27.0</v>
      </c>
      <c r="O41" s="133">
        <v>31.0</v>
      </c>
      <c r="P41" s="133"/>
      <c r="Q41" s="133">
        <v>22.0</v>
      </c>
      <c r="R41" s="133">
        <v>25.0</v>
      </c>
      <c r="S41" s="199">
        <v>21.0</v>
      </c>
      <c r="T41" s="134">
        <v>30.0</v>
      </c>
      <c r="U41" s="133"/>
      <c r="V41" s="133"/>
      <c r="W41" s="133"/>
      <c r="X41" s="133"/>
      <c r="Y41" s="133"/>
      <c r="Z41" s="133"/>
      <c r="AA41" s="733">
        <f t="shared" si="8"/>
        <v>26.11111111</v>
      </c>
      <c r="AB41" s="733">
        <f t="shared" si="9"/>
        <v>235</v>
      </c>
      <c r="AC41" s="130"/>
      <c r="AD41" s="130"/>
      <c r="AE41" s="130"/>
      <c r="AF41" s="130"/>
      <c r="AG41" s="130"/>
      <c r="AH41" s="130"/>
      <c r="AI41" s="130"/>
      <c r="AJ41" s="130"/>
      <c r="AK41" s="130"/>
      <c r="AL41" s="130"/>
      <c r="AM41" s="130"/>
      <c r="AN41" s="130"/>
      <c r="AO41" s="130"/>
    </row>
    <row r="42">
      <c r="A42" s="131" t="s">
        <v>1242</v>
      </c>
      <c r="B42" s="132">
        <v>8.0</v>
      </c>
      <c r="C42" s="133">
        <v>8.0</v>
      </c>
      <c r="D42" s="133">
        <v>3.0</v>
      </c>
      <c r="E42" s="133">
        <v>10.0</v>
      </c>
      <c r="F42" s="133">
        <v>3.0</v>
      </c>
      <c r="G42" s="133">
        <v>5.0</v>
      </c>
      <c r="H42" s="133">
        <v>5.0</v>
      </c>
      <c r="I42" s="133">
        <v>10.0</v>
      </c>
      <c r="J42" s="133">
        <v>5.0</v>
      </c>
      <c r="K42" s="133">
        <v>0.0</v>
      </c>
      <c r="L42" s="133">
        <v>2.0</v>
      </c>
      <c r="M42" s="133">
        <v>5.0</v>
      </c>
      <c r="N42" s="133">
        <v>8.0</v>
      </c>
      <c r="O42" s="133">
        <v>11.0</v>
      </c>
      <c r="P42" s="133"/>
      <c r="Q42" s="133">
        <v>6.0</v>
      </c>
      <c r="R42" s="133">
        <v>0.0</v>
      </c>
      <c r="S42" s="199">
        <v>21.0</v>
      </c>
      <c r="T42" s="134">
        <v>13.0</v>
      </c>
      <c r="U42" s="133"/>
      <c r="V42" s="133"/>
      <c r="W42" s="133"/>
      <c r="X42" s="133"/>
      <c r="Y42" s="133"/>
      <c r="Z42" s="133"/>
      <c r="AA42" s="733">
        <f t="shared" si="8"/>
        <v>6.833333333</v>
      </c>
      <c r="AB42" s="733">
        <f t="shared" si="9"/>
        <v>123</v>
      </c>
      <c r="AC42" s="130"/>
      <c r="AD42" s="130"/>
      <c r="AE42" s="130"/>
      <c r="AF42" s="130"/>
      <c r="AG42" s="130"/>
      <c r="AH42" s="130"/>
      <c r="AI42" s="130"/>
      <c r="AJ42" s="130"/>
      <c r="AK42" s="130"/>
      <c r="AL42" s="130"/>
      <c r="AM42" s="130"/>
      <c r="AN42" s="130"/>
      <c r="AO42" s="130"/>
    </row>
    <row r="43">
      <c r="A43" s="131" t="s">
        <v>1243</v>
      </c>
      <c r="B43" s="132">
        <v>12.0</v>
      </c>
      <c r="C43" s="133">
        <v>5.0</v>
      </c>
      <c r="D43" s="130"/>
      <c r="E43" s="133">
        <v>1.0</v>
      </c>
      <c r="F43" s="133">
        <v>3.0</v>
      </c>
      <c r="G43" s="133">
        <v>0.0</v>
      </c>
      <c r="H43" s="130"/>
      <c r="I43" s="130"/>
      <c r="J43" s="133">
        <v>3.0</v>
      </c>
      <c r="K43" s="133">
        <v>0.0</v>
      </c>
      <c r="L43" s="133">
        <v>5.0</v>
      </c>
      <c r="M43" s="133">
        <v>8.0</v>
      </c>
      <c r="N43" s="133">
        <v>15.0</v>
      </c>
      <c r="O43" s="133">
        <v>16.0</v>
      </c>
      <c r="P43" s="133"/>
      <c r="Q43" s="133">
        <v>1.0</v>
      </c>
      <c r="R43" s="133">
        <v>1.0</v>
      </c>
      <c r="S43" s="199">
        <v>0.0</v>
      </c>
      <c r="T43" s="133">
        <v>0.0</v>
      </c>
      <c r="U43" s="133"/>
      <c r="V43" s="133"/>
      <c r="W43" s="133"/>
      <c r="X43" s="133"/>
      <c r="Y43" s="133"/>
      <c r="Z43" s="133"/>
      <c r="AA43" s="733">
        <f t="shared" si="8"/>
        <v>4.666666667</v>
      </c>
      <c r="AB43" s="733">
        <f t="shared" si="9"/>
        <v>70</v>
      </c>
      <c r="AC43" s="130"/>
      <c r="AD43" s="130"/>
      <c r="AE43" s="130"/>
      <c r="AF43" s="130"/>
      <c r="AG43" s="130"/>
      <c r="AH43" s="130"/>
      <c r="AI43" s="130"/>
      <c r="AJ43" s="130"/>
      <c r="AK43" s="130"/>
      <c r="AL43" s="130"/>
      <c r="AM43" s="130"/>
      <c r="AN43" s="130"/>
      <c r="AO43" s="130"/>
    </row>
    <row r="44" hidden="1">
      <c r="A44" s="131" t="s">
        <v>1244</v>
      </c>
      <c r="B44" s="136">
        <v>39.0</v>
      </c>
      <c r="C44" s="133">
        <v>21.0</v>
      </c>
      <c r="D44" s="130"/>
      <c r="E44" s="130"/>
      <c r="F44" s="130"/>
      <c r="G44" s="130"/>
      <c r="H44" s="130"/>
      <c r="I44" s="130"/>
      <c r="J44" s="130"/>
      <c r="K44" s="130"/>
      <c r="L44" s="130"/>
      <c r="M44" s="130"/>
      <c r="N44" s="130"/>
      <c r="O44" s="130"/>
      <c r="P44" s="133"/>
      <c r="Q44" s="133"/>
      <c r="R44" s="133"/>
      <c r="T44" s="134"/>
      <c r="U44" s="133"/>
      <c r="V44" s="133"/>
      <c r="W44" s="133"/>
      <c r="X44" s="133"/>
      <c r="Y44" s="133"/>
      <c r="Z44" s="133"/>
      <c r="AA44" s="733">
        <f t="shared" si="8"/>
        <v>30</v>
      </c>
      <c r="AB44" s="733">
        <f t="shared" si="9"/>
        <v>60</v>
      </c>
      <c r="AC44" s="130"/>
      <c r="AD44" s="130"/>
      <c r="AE44" s="130"/>
      <c r="AF44" s="130"/>
      <c r="AG44" s="130"/>
      <c r="AH44" s="130"/>
      <c r="AI44" s="130"/>
      <c r="AJ44" s="130"/>
      <c r="AK44" s="130"/>
      <c r="AL44" s="130"/>
      <c r="AM44" s="130"/>
      <c r="AN44" s="130"/>
      <c r="AO44" s="130"/>
    </row>
    <row r="45" ht="18.75" customHeight="1">
      <c r="A45" s="131" t="s">
        <v>1245</v>
      </c>
      <c r="B45" s="136"/>
      <c r="C45" s="130"/>
      <c r="D45" s="130"/>
      <c r="E45" s="133">
        <v>5.0</v>
      </c>
      <c r="F45" s="130"/>
      <c r="G45" s="133"/>
      <c r="H45" s="130"/>
      <c r="I45" s="130"/>
      <c r="J45" s="130"/>
      <c r="K45" s="130"/>
      <c r="L45" s="130"/>
      <c r="M45" s="133">
        <v>0.0</v>
      </c>
      <c r="N45" s="133">
        <v>0.0</v>
      </c>
      <c r="O45" s="133">
        <v>0.0</v>
      </c>
      <c r="P45" s="133"/>
      <c r="Q45" s="133">
        <v>0.0</v>
      </c>
      <c r="R45" s="133">
        <v>0.0</v>
      </c>
      <c r="S45" s="199">
        <v>0.0</v>
      </c>
      <c r="T45" s="134">
        <v>0.0</v>
      </c>
      <c r="U45" s="133"/>
      <c r="V45" s="133"/>
      <c r="W45" s="133"/>
      <c r="X45" s="133"/>
      <c r="Y45" s="133"/>
      <c r="Z45" s="133"/>
      <c r="AA45" s="733">
        <f t="shared" si="8"/>
        <v>0.625</v>
      </c>
      <c r="AB45" s="733">
        <f t="shared" si="9"/>
        <v>5</v>
      </c>
      <c r="AC45" s="130"/>
      <c r="AD45" s="130"/>
      <c r="AE45" s="130"/>
      <c r="AF45" s="130"/>
      <c r="AG45" s="130"/>
      <c r="AH45" s="130"/>
      <c r="AI45" s="130"/>
      <c r="AJ45" s="130"/>
      <c r="AK45" s="130"/>
      <c r="AL45" s="130"/>
      <c r="AM45" s="130"/>
      <c r="AN45" s="130"/>
      <c r="AO45" s="130"/>
    </row>
    <row r="46">
      <c r="A46" s="131" t="s">
        <v>1246</v>
      </c>
      <c r="B46" s="132"/>
      <c r="C46" s="130"/>
      <c r="D46" s="130"/>
      <c r="E46" s="130"/>
      <c r="F46" s="130"/>
      <c r="G46" s="130"/>
      <c r="H46" s="130"/>
      <c r="I46" s="130"/>
      <c r="J46" s="133">
        <v>8.0</v>
      </c>
      <c r="K46" s="133">
        <v>5.0</v>
      </c>
      <c r="L46" s="130"/>
      <c r="M46" s="133">
        <v>0.0</v>
      </c>
      <c r="N46" s="133">
        <v>0.0</v>
      </c>
      <c r="O46" s="133">
        <v>0.0</v>
      </c>
      <c r="P46" s="133"/>
      <c r="Q46" s="133">
        <v>0.0</v>
      </c>
      <c r="R46" s="133">
        <v>3.0</v>
      </c>
      <c r="S46" s="199">
        <v>0.0</v>
      </c>
      <c r="T46" s="134">
        <v>0.0</v>
      </c>
      <c r="U46" s="133"/>
      <c r="V46" s="133"/>
      <c r="W46" s="133"/>
      <c r="X46" s="133"/>
      <c r="Y46" s="133"/>
      <c r="Z46" s="133"/>
      <c r="AA46" s="733">
        <f t="shared" si="8"/>
        <v>1.777777778</v>
      </c>
      <c r="AB46" s="733">
        <f t="shared" si="9"/>
        <v>16</v>
      </c>
      <c r="AC46" s="130"/>
      <c r="AD46" s="130"/>
      <c r="AE46" s="130"/>
      <c r="AF46" s="130"/>
      <c r="AG46" s="130"/>
      <c r="AH46" s="130"/>
      <c r="AI46" s="130"/>
      <c r="AJ46" s="130"/>
      <c r="AK46" s="130"/>
      <c r="AL46" s="130"/>
      <c r="AM46" s="130"/>
      <c r="AN46" s="130"/>
      <c r="AO46" s="130"/>
    </row>
    <row r="47">
      <c r="A47" s="131" t="s">
        <v>1247</v>
      </c>
      <c r="B47" s="132"/>
      <c r="C47" s="130"/>
      <c r="D47" s="130"/>
      <c r="E47" s="130"/>
      <c r="F47" s="130"/>
      <c r="G47" s="130"/>
      <c r="H47" s="130"/>
      <c r="I47" s="130"/>
      <c r="J47" s="133"/>
      <c r="K47" s="133"/>
      <c r="L47" s="130"/>
      <c r="M47" s="133"/>
      <c r="N47" s="133"/>
      <c r="O47" s="133"/>
      <c r="P47" s="133"/>
      <c r="Q47" s="133"/>
      <c r="R47" s="133">
        <v>8.0</v>
      </c>
      <c r="S47" s="199">
        <v>53.0</v>
      </c>
      <c r="T47" s="134">
        <v>48.0</v>
      </c>
      <c r="U47" s="133"/>
      <c r="V47" s="133"/>
      <c r="W47" s="133"/>
      <c r="X47" s="133"/>
      <c r="Y47" s="133"/>
      <c r="Z47" s="133"/>
      <c r="AA47" s="733"/>
      <c r="AB47" s="733"/>
      <c r="AC47" s="130"/>
      <c r="AD47" s="130"/>
      <c r="AE47" s="130"/>
      <c r="AF47" s="130"/>
      <c r="AG47" s="130"/>
      <c r="AH47" s="130"/>
      <c r="AI47" s="130"/>
      <c r="AJ47" s="130"/>
      <c r="AK47" s="130"/>
      <c r="AL47" s="130"/>
      <c r="AM47" s="130"/>
      <c r="AN47" s="130"/>
      <c r="AO47" s="130"/>
    </row>
    <row r="48">
      <c r="A48" s="126" t="s">
        <v>46</v>
      </c>
      <c r="B48" s="127"/>
      <c r="C48" s="128"/>
      <c r="D48" s="128"/>
      <c r="E48" s="128"/>
      <c r="F48" s="128"/>
      <c r="G48" s="128"/>
      <c r="H48" s="128"/>
      <c r="I48" s="128"/>
      <c r="J48" s="128"/>
      <c r="K48" s="128"/>
      <c r="L48" s="128"/>
      <c r="M48" s="128"/>
      <c r="N48" s="128"/>
      <c r="O48" s="128"/>
      <c r="P48" s="128"/>
      <c r="Q48" s="128"/>
      <c r="R48" s="128"/>
      <c r="S48" s="128"/>
      <c r="T48" s="129"/>
      <c r="U48" s="128"/>
      <c r="V48" s="128"/>
      <c r="W48" s="128"/>
      <c r="X48" s="128"/>
      <c r="Y48" s="128"/>
      <c r="Z48" s="128"/>
      <c r="AA48" s="734">
        <f>AVERAGE(AA49:AA58)</f>
        <v>20.16908497</v>
      </c>
      <c r="AB48" s="734"/>
      <c r="AC48" s="130"/>
      <c r="AD48" s="130"/>
      <c r="AE48" s="130"/>
      <c r="AF48" s="130"/>
      <c r="AG48" s="130"/>
      <c r="AH48" s="130"/>
      <c r="AI48" s="130"/>
      <c r="AJ48" s="130"/>
      <c r="AK48" s="130"/>
      <c r="AL48" s="130"/>
      <c r="AM48" s="130"/>
      <c r="AN48" s="130"/>
      <c r="AO48" s="130"/>
    </row>
    <row r="49">
      <c r="A49" s="131" t="s">
        <v>1238</v>
      </c>
      <c r="B49" s="132">
        <v>35.0</v>
      </c>
      <c r="C49" s="133">
        <v>48.0</v>
      </c>
      <c r="D49" s="133">
        <v>22.0</v>
      </c>
      <c r="E49" s="133">
        <v>77.0</v>
      </c>
      <c r="F49" s="133">
        <v>55.0</v>
      </c>
      <c r="G49" s="133">
        <v>58.0</v>
      </c>
      <c r="H49" s="133">
        <v>67.0</v>
      </c>
      <c r="I49" s="133">
        <v>27.0</v>
      </c>
      <c r="J49" s="133">
        <v>19.0</v>
      </c>
      <c r="K49" s="133">
        <v>21.0</v>
      </c>
      <c r="L49" s="133">
        <v>29.0</v>
      </c>
      <c r="M49" s="133">
        <v>22.0</v>
      </c>
      <c r="N49" s="133"/>
      <c r="O49" s="133">
        <v>1.0</v>
      </c>
      <c r="P49" s="133">
        <v>41.0</v>
      </c>
      <c r="Q49" s="133">
        <v>22.0</v>
      </c>
      <c r="R49" s="133">
        <v>34.0</v>
      </c>
      <c r="S49" s="133">
        <v>0.0</v>
      </c>
      <c r="T49" s="134">
        <v>0.0</v>
      </c>
      <c r="U49" s="133"/>
      <c r="V49" s="133"/>
      <c r="W49" s="133"/>
      <c r="X49" s="133"/>
      <c r="Y49" s="133"/>
      <c r="Z49" s="133"/>
      <c r="AA49" s="733">
        <f t="shared" ref="AA49:AA59" si="10">AVERAGE(B49:Z49)</f>
        <v>32.11111111</v>
      </c>
      <c r="AB49" s="733">
        <f t="shared" ref="AB49:AB59" si="11">SUM(B49:Z49)</f>
        <v>578</v>
      </c>
      <c r="AC49" s="130"/>
      <c r="AD49" s="130"/>
      <c r="AE49" s="130"/>
      <c r="AF49" s="130"/>
      <c r="AG49" s="130"/>
      <c r="AH49" s="130"/>
      <c r="AI49" s="130"/>
      <c r="AJ49" s="130"/>
      <c r="AK49" s="130"/>
      <c r="AL49" s="130"/>
      <c r="AM49" s="130"/>
      <c r="AN49" s="130"/>
      <c r="AO49" s="130"/>
    </row>
    <row r="50" hidden="1">
      <c r="A50" s="131" t="s">
        <v>1239</v>
      </c>
      <c r="B50" s="132">
        <v>26.0</v>
      </c>
      <c r="C50" s="133">
        <v>12.0</v>
      </c>
      <c r="D50" s="133"/>
      <c r="E50" s="130"/>
      <c r="F50" s="133"/>
      <c r="G50" s="133"/>
      <c r="H50" s="133"/>
      <c r="I50" s="130"/>
      <c r="J50" s="130"/>
      <c r="K50" s="130"/>
      <c r="L50" s="130"/>
      <c r="M50" s="130"/>
      <c r="N50" s="130"/>
      <c r="O50" s="130"/>
      <c r="P50" s="130"/>
      <c r="Q50" s="130"/>
      <c r="R50" s="130"/>
      <c r="S50" s="130"/>
      <c r="T50" s="135"/>
      <c r="U50" s="130"/>
      <c r="V50" s="130"/>
      <c r="W50" s="130"/>
      <c r="X50" s="130"/>
      <c r="Y50" s="130"/>
      <c r="Z50" s="130"/>
      <c r="AA50" s="733">
        <f t="shared" si="10"/>
        <v>19</v>
      </c>
      <c r="AB50" s="733">
        <f t="shared" si="11"/>
        <v>38</v>
      </c>
      <c r="AC50" s="130"/>
      <c r="AD50" s="130"/>
      <c r="AE50" s="130"/>
      <c r="AF50" s="130"/>
      <c r="AG50" s="130"/>
      <c r="AH50" s="130"/>
      <c r="AI50" s="130"/>
      <c r="AJ50" s="130"/>
      <c r="AK50" s="130"/>
      <c r="AL50" s="130"/>
      <c r="AM50" s="130"/>
      <c r="AN50" s="130"/>
      <c r="AO50" s="130"/>
    </row>
    <row r="51">
      <c r="A51" s="131" t="s">
        <v>1240</v>
      </c>
      <c r="B51" s="137">
        <v>20.0</v>
      </c>
      <c r="C51" s="133">
        <v>24.0</v>
      </c>
      <c r="D51" s="133">
        <v>62.0</v>
      </c>
      <c r="E51" s="133">
        <v>47.0</v>
      </c>
      <c r="F51" s="133">
        <f>13+38</f>
        <v>51</v>
      </c>
      <c r="G51" s="133">
        <v>19.0</v>
      </c>
      <c r="H51" s="133">
        <v>8.0</v>
      </c>
      <c r="I51" s="133">
        <v>8.0</v>
      </c>
      <c r="J51" s="133">
        <v>29.0</v>
      </c>
      <c r="K51" s="133">
        <v>13.0</v>
      </c>
      <c r="L51" s="133">
        <v>8.0</v>
      </c>
      <c r="M51" s="133">
        <v>16.0</v>
      </c>
      <c r="N51" s="133"/>
      <c r="O51" s="133">
        <v>10.0</v>
      </c>
      <c r="P51" s="133">
        <v>47.0</v>
      </c>
      <c r="Q51" s="133">
        <v>31.0</v>
      </c>
      <c r="R51" s="133">
        <v>1.0</v>
      </c>
      <c r="S51" s="133">
        <v>1.0</v>
      </c>
      <c r="T51" s="134">
        <v>0.0</v>
      </c>
      <c r="U51" s="130"/>
      <c r="V51" s="130"/>
      <c r="W51" s="130"/>
      <c r="X51" s="130"/>
      <c r="Y51" s="130"/>
      <c r="Z51" s="130"/>
      <c r="AA51" s="733">
        <f t="shared" si="10"/>
        <v>21.94444444</v>
      </c>
      <c r="AB51" s="733">
        <f t="shared" si="11"/>
        <v>395</v>
      </c>
      <c r="AC51" s="130"/>
      <c r="AD51" s="130"/>
      <c r="AE51" s="130"/>
      <c r="AF51" s="130"/>
      <c r="AG51" s="130"/>
      <c r="AH51" s="130"/>
      <c r="AI51" s="130"/>
      <c r="AJ51" s="130"/>
      <c r="AK51" s="130"/>
      <c r="AL51" s="130"/>
      <c r="AM51" s="130"/>
      <c r="AN51" s="130"/>
      <c r="AO51" s="130"/>
    </row>
    <row r="52">
      <c r="A52" s="131" t="s">
        <v>908</v>
      </c>
      <c r="B52" s="137">
        <v>34.0</v>
      </c>
      <c r="C52" s="133">
        <v>47.0</v>
      </c>
      <c r="D52" s="133">
        <v>25.0</v>
      </c>
      <c r="E52" s="133">
        <v>30.0</v>
      </c>
      <c r="F52" s="133">
        <v>8.0</v>
      </c>
      <c r="G52" s="133">
        <v>32.0</v>
      </c>
      <c r="H52" s="133">
        <v>69.0</v>
      </c>
      <c r="I52" s="133">
        <v>24.0</v>
      </c>
      <c r="J52" s="133">
        <v>41.0</v>
      </c>
      <c r="K52" s="133">
        <v>34.0</v>
      </c>
      <c r="L52" s="133">
        <v>30.0</v>
      </c>
      <c r="M52" s="133">
        <v>32.0</v>
      </c>
      <c r="N52" s="133"/>
      <c r="O52" s="133">
        <v>10.0</v>
      </c>
      <c r="P52" s="133">
        <v>21.0</v>
      </c>
      <c r="Q52" s="133">
        <v>25.0</v>
      </c>
      <c r="R52" s="133">
        <v>55.0</v>
      </c>
      <c r="S52" s="133">
        <v>14.0</v>
      </c>
      <c r="T52" s="134">
        <v>29.0</v>
      </c>
      <c r="U52" s="133"/>
      <c r="V52" s="133"/>
      <c r="W52" s="133"/>
      <c r="X52" s="133"/>
      <c r="Y52" s="133"/>
      <c r="Z52" s="133"/>
      <c r="AA52" s="733">
        <f t="shared" si="10"/>
        <v>31.11111111</v>
      </c>
      <c r="AB52" s="733">
        <f t="shared" si="11"/>
        <v>560</v>
      </c>
      <c r="AC52" s="130"/>
      <c r="AD52" s="130"/>
      <c r="AE52" s="130"/>
      <c r="AF52" s="130"/>
      <c r="AG52" s="130"/>
      <c r="AH52" s="130"/>
      <c r="AI52" s="130"/>
      <c r="AJ52" s="130"/>
      <c r="AK52" s="130"/>
      <c r="AL52" s="130"/>
      <c r="AM52" s="130"/>
      <c r="AN52" s="130"/>
      <c r="AO52" s="130"/>
    </row>
    <row r="53">
      <c r="A53" s="131" t="s">
        <v>1241</v>
      </c>
      <c r="B53" s="137">
        <v>44.0</v>
      </c>
      <c r="C53" s="133">
        <v>52.0</v>
      </c>
      <c r="D53" s="133">
        <v>75.0</v>
      </c>
      <c r="E53" s="133">
        <v>57.0</v>
      </c>
      <c r="F53" s="133">
        <v>48.0</v>
      </c>
      <c r="G53" s="133">
        <v>35.0</v>
      </c>
      <c r="H53" s="133">
        <v>26.0</v>
      </c>
      <c r="I53" s="133">
        <v>34.0</v>
      </c>
      <c r="J53" s="133">
        <v>44.0</v>
      </c>
      <c r="K53" s="133">
        <v>13.0</v>
      </c>
      <c r="L53" s="133">
        <v>16.0</v>
      </c>
      <c r="M53" s="133">
        <f>24+13</f>
        <v>37</v>
      </c>
      <c r="N53" s="133"/>
      <c r="O53" s="133">
        <v>8.0</v>
      </c>
      <c r="P53" s="133">
        <v>36.0</v>
      </c>
      <c r="Q53" s="133">
        <v>30.0</v>
      </c>
      <c r="R53" s="133">
        <v>31.0</v>
      </c>
      <c r="S53" s="133">
        <v>38.0</v>
      </c>
      <c r="T53" s="134">
        <v>13.0</v>
      </c>
      <c r="U53" s="133"/>
      <c r="V53" s="133"/>
      <c r="W53" s="133"/>
      <c r="X53" s="133"/>
      <c r="Y53" s="133"/>
      <c r="Z53" s="133"/>
      <c r="AA53" s="733">
        <f t="shared" si="10"/>
        <v>35.38888889</v>
      </c>
      <c r="AB53" s="733">
        <f t="shared" si="11"/>
        <v>637</v>
      </c>
      <c r="AC53" s="130"/>
      <c r="AD53" s="130"/>
      <c r="AE53" s="130"/>
      <c r="AF53" s="130"/>
      <c r="AG53" s="130"/>
      <c r="AH53" s="130"/>
      <c r="AI53" s="130"/>
      <c r="AJ53" s="130"/>
      <c r="AK53" s="130"/>
      <c r="AL53" s="130"/>
      <c r="AM53" s="130"/>
      <c r="AN53" s="130"/>
      <c r="AO53" s="130"/>
    </row>
    <row r="54">
      <c r="A54" s="131" t="s">
        <v>759</v>
      </c>
      <c r="B54" s="137"/>
      <c r="C54" s="133"/>
      <c r="D54" s="133"/>
      <c r="E54" s="133"/>
      <c r="F54" s="133"/>
      <c r="G54" s="133"/>
      <c r="H54" s="133"/>
      <c r="I54" s="133"/>
      <c r="J54" s="133">
        <v>21.0</v>
      </c>
      <c r="K54" s="133">
        <v>28.0</v>
      </c>
      <c r="L54" s="133">
        <v>20.0</v>
      </c>
      <c r="M54" s="133">
        <v>15.0</v>
      </c>
      <c r="N54" s="133"/>
      <c r="O54" s="133">
        <v>15.0</v>
      </c>
      <c r="P54" s="133">
        <v>16.0</v>
      </c>
      <c r="Q54" s="133">
        <v>19.0</v>
      </c>
      <c r="R54" s="133">
        <v>22.0</v>
      </c>
      <c r="S54" s="133">
        <v>6.0</v>
      </c>
      <c r="T54" s="134">
        <v>22.0</v>
      </c>
      <c r="U54" s="133"/>
      <c r="V54" s="133"/>
      <c r="W54" s="133"/>
      <c r="X54" s="133"/>
      <c r="Y54" s="133"/>
      <c r="Z54" s="133"/>
      <c r="AA54" s="733">
        <f t="shared" si="10"/>
        <v>18.4</v>
      </c>
      <c r="AB54" s="733">
        <f t="shared" si="11"/>
        <v>184</v>
      </c>
      <c r="AC54" s="130"/>
      <c r="AD54" s="130"/>
      <c r="AE54" s="130"/>
      <c r="AF54" s="130"/>
      <c r="AG54" s="130"/>
      <c r="AH54" s="130"/>
      <c r="AI54" s="130"/>
      <c r="AJ54" s="130"/>
      <c r="AK54" s="130"/>
      <c r="AL54" s="130"/>
      <c r="AM54" s="130"/>
      <c r="AN54" s="130"/>
      <c r="AO54" s="130"/>
    </row>
    <row r="55">
      <c r="A55" s="131" t="s">
        <v>1242</v>
      </c>
      <c r="B55" s="137">
        <v>3.0</v>
      </c>
      <c r="C55" s="133">
        <v>12.0</v>
      </c>
      <c r="D55" s="133">
        <v>7.0</v>
      </c>
      <c r="E55" s="199">
        <v>25.0</v>
      </c>
      <c r="F55" s="133">
        <v>22.0</v>
      </c>
      <c r="G55" s="133">
        <v>0.0</v>
      </c>
      <c r="H55" s="133"/>
      <c r="I55" s="133">
        <v>5.0</v>
      </c>
      <c r="J55" s="133">
        <v>28.0</v>
      </c>
      <c r="K55" s="133">
        <v>14.0</v>
      </c>
      <c r="L55" s="133">
        <v>0.0</v>
      </c>
      <c r="M55" s="133">
        <v>14.0</v>
      </c>
      <c r="N55" s="133"/>
      <c r="O55" s="133">
        <v>3.0</v>
      </c>
      <c r="P55" s="133">
        <v>18.0</v>
      </c>
      <c r="Q55" s="133">
        <v>5.0</v>
      </c>
      <c r="R55" s="133">
        <v>8.0</v>
      </c>
      <c r="S55" s="133">
        <v>26.0</v>
      </c>
      <c r="T55" s="134">
        <v>17.0</v>
      </c>
      <c r="U55" s="133"/>
      <c r="V55" s="133"/>
      <c r="W55" s="133"/>
      <c r="X55" s="133"/>
      <c r="Y55" s="133"/>
      <c r="Z55" s="133"/>
      <c r="AA55" s="733">
        <f t="shared" si="10"/>
        <v>12.17647059</v>
      </c>
      <c r="AB55" s="733">
        <f t="shared" si="11"/>
        <v>207</v>
      </c>
      <c r="AC55" s="130"/>
      <c r="AD55" s="130"/>
      <c r="AE55" s="130"/>
      <c r="AF55" s="130"/>
      <c r="AG55" s="130"/>
      <c r="AH55" s="130"/>
      <c r="AI55" s="130"/>
      <c r="AJ55" s="130"/>
      <c r="AK55" s="130"/>
      <c r="AL55" s="130"/>
      <c r="AM55" s="130"/>
      <c r="AN55" s="130"/>
      <c r="AO55" s="130"/>
    </row>
    <row r="56" hidden="1">
      <c r="A56" s="131" t="s">
        <v>1244</v>
      </c>
      <c r="B56" s="137">
        <v>34.0</v>
      </c>
      <c r="C56" s="133">
        <v>21.0</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733">
        <f t="shared" si="10"/>
        <v>27.5</v>
      </c>
      <c r="AB56" s="733">
        <f t="shared" si="11"/>
        <v>55</v>
      </c>
      <c r="AC56" s="130"/>
      <c r="AD56" s="130"/>
      <c r="AE56" s="130"/>
      <c r="AF56" s="130"/>
      <c r="AG56" s="130"/>
      <c r="AH56" s="130"/>
      <c r="AI56" s="130"/>
      <c r="AJ56" s="130"/>
      <c r="AK56" s="130"/>
      <c r="AL56" s="130"/>
      <c r="AM56" s="130"/>
      <c r="AN56" s="130"/>
      <c r="AO56" s="130"/>
    </row>
    <row r="57">
      <c r="A57" s="131" t="s">
        <v>1243</v>
      </c>
      <c r="B57" s="137">
        <v>8.0</v>
      </c>
      <c r="C57" s="133">
        <v>0.0</v>
      </c>
      <c r="D57" s="133">
        <v>0.0</v>
      </c>
      <c r="E57" s="133">
        <v>8.0</v>
      </c>
      <c r="F57" s="133">
        <v>3.0</v>
      </c>
      <c r="G57" s="133">
        <v>1.0</v>
      </c>
      <c r="H57" s="133">
        <v>1.0</v>
      </c>
      <c r="I57" s="133"/>
      <c r="J57" s="133">
        <v>3.0</v>
      </c>
      <c r="K57" s="133">
        <v>0.0</v>
      </c>
      <c r="L57" s="133">
        <v>0.0</v>
      </c>
      <c r="M57" s="133">
        <v>6.0</v>
      </c>
      <c r="N57" s="133"/>
      <c r="O57" s="133">
        <v>13.0</v>
      </c>
      <c r="P57" s="133">
        <v>3.0</v>
      </c>
      <c r="Q57" s="133">
        <v>0.0</v>
      </c>
      <c r="R57" s="133">
        <v>6.0</v>
      </c>
      <c r="S57" s="133">
        <v>0.0</v>
      </c>
      <c r="T57" s="134">
        <v>0.0</v>
      </c>
      <c r="U57" s="133"/>
      <c r="V57" s="133"/>
      <c r="W57" s="133"/>
      <c r="X57" s="133"/>
      <c r="Y57" s="133"/>
      <c r="Z57" s="133"/>
      <c r="AA57" s="733">
        <f t="shared" si="10"/>
        <v>3.058823529</v>
      </c>
      <c r="AB57" s="733">
        <f t="shared" si="11"/>
        <v>52</v>
      </c>
      <c r="AC57" s="130"/>
      <c r="AD57" s="130"/>
      <c r="AE57" s="130"/>
      <c r="AF57" s="130"/>
      <c r="AG57" s="130"/>
      <c r="AH57" s="130"/>
      <c r="AI57" s="130"/>
      <c r="AJ57" s="130"/>
      <c r="AK57" s="130"/>
      <c r="AL57" s="130"/>
      <c r="AM57" s="130"/>
      <c r="AN57" s="130"/>
      <c r="AO57" s="130"/>
    </row>
    <row r="58">
      <c r="A58" s="131" t="s">
        <v>1248</v>
      </c>
      <c r="B58" s="137"/>
      <c r="C58" s="133"/>
      <c r="D58" s="133">
        <v>3.0</v>
      </c>
      <c r="E58" s="133">
        <v>0.0</v>
      </c>
      <c r="F58" s="133"/>
      <c r="G58" s="133"/>
      <c r="H58" s="133"/>
      <c r="I58" s="133"/>
      <c r="J58" s="133">
        <v>8.0</v>
      </c>
      <c r="K58" s="133" t="s">
        <v>59</v>
      </c>
      <c r="L58" s="133">
        <v>0.0</v>
      </c>
      <c r="M58" s="133">
        <v>0.0</v>
      </c>
      <c r="N58" s="133"/>
      <c r="O58" s="133">
        <v>0.0</v>
      </c>
      <c r="P58" s="133">
        <v>0.0</v>
      </c>
      <c r="Q58" s="133">
        <v>0.0</v>
      </c>
      <c r="R58" s="133">
        <v>0.0</v>
      </c>
      <c r="S58" s="133">
        <v>0.0</v>
      </c>
      <c r="T58" s="134">
        <v>0.0</v>
      </c>
      <c r="U58" s="133"/>
      <c r="V58" s="133"/>
      <c r="W58" s="133"/>
      <c r="X58" s="133"/>
      <c r="Y58" s="133"/>
      <c r="Z58" s="133"/>
      <c r="AA58" s="733">
        <f t="shared" si="10"/>
        <v>1</v>
      </c>
      <c r="AB58" s="733">
        <f t="shared" si="11"/>
        <v>11</v>
      </c>
      <c r="AC58" s="130"/>
      <c r="AD58" s="130"/>
      <c r="AE58" s="130"/>
      <c r="AF58" s="130"/>
      <c r="AG58" s="130"/>
      <c r="AH58" s="130"/>
      <c r="AI58" s="130"/>
      <c r="AJ58" s="130"/>
      <c r="AK58" s="130"/>
      <c r="AL58" s="130"/>
      <c r="AM58" s="130"/>
      <c r="AN58" s="130"/>
      <c r="AO58" s="130"/>
    </row>
    <row r="59">
      <c r="A59" s="131" t="s">
        <v>1246</v>
      </c>
      <c r="B59" s="137"/>
      <c r="C59" s="133"/>
      <c r="D59" s="133"/>
      <c r="E59" s="133"/>
      <c r="F59" s="133"/>
      <c r="G59" s="133"/>
      <c r="H59" s="133"/>
      <c r="I59" s="133"/>
      <c r="J59" s="133">
        <v>3.0</v>
      </c>
      <c r="K59" s="133">
        <v>5.0</v>
      </c>
      <c r="L59" s="133">
        <v>0.0</v>
      </c>
      <c r="M59" s="133">
        <v>0.0</v>
      </c>
      <c r="N59" s="133"/>
      <c r="O59" s="133">
        <v>0.0</v>
      </c>
      <c r="P59" s="133">
        <v>0.0</v>
      </c>
      <c r="Q59" s="133">
        <v>0.0</v>
      </c>
      <c r="R59" s="133">
        <v>0.0</v>
      </c>
      <c r="S59" s="133">
        <v>0.0</v>
      </c>
      <c r="T59" s="134">
        <v>0.0</v>
      </c>
      <c r="U59" s="133"/>
      <c r="V59" s="133"/>
      <c r="W59" s="133"/>
      <c r="X59" s="133"/>
      <c r="Y59" s="133"/>
      <c r="Z59" s="133"/>
      <c r="AA59" s="733">
        <f t="shared" si="10"/>
        <v>0.8</v>
      </c>
      <c r="AB59" s="733">
        <f t="shared" si="11"/>
        <v>8</v>
      </c>
      <c r="AC59" s="130"/>
      <c r="AD59" s="130"/>
      <c r="AE59" s="130"/>
      <c r="AF59" s="130"/>
      <c r="AG59" s="130"/>
      <c r="AH59" s="130"/>
      <c r="AI59" s="130"/>
      <c r="AJ59" s="130"/>
      <c r="AK59" s="130"/>
      <c r="AL59" s="130"/>
      <c r="AM59" s="130"/>
      <c r="AN59" s="130"/>
      <c r="AO59" s="130"/>
    </row>
    <row r="60">
      <c r="A60" s="131" t="s">
        <v>1247</v>
      </c>
      <c r="B60" s="137"/>
      <c r="C60" s="133"/>
      <c r="D60" s="133"/>
      <c r="E60" s="133"/>
      <c r="F60" s="133"/>
      <c r="G60" s="133"/>
      <c r="H60" s="133"/>
      <c r="I60" s="133"/>
      <c r="J60" s="133"/>
      <c r="K60" s="133"/>
      <c r="L60" s="133"/>
      <c r="M60" s="133"/>
      <c r="N60" s="133"/>
      <c r="O60" s="133"/>
      <c r="P60" s="133"/>
      <c r="Q60" s="133"/>
      <c r="R60" s="133">
        <v>21.0</v>
      </c>
      <c r="S60" s="133">
        <v>42.0</v>
      </c>
      <c r="T60" s="134">
        <v>30.0</v>
      </c>
      <c r="U60" s="133"/>
      <c r="V60" s="133"/>
      <c r="W60" s="133"/>
      <c r="X60" s="133"/>
      <c r="Y60" s="133"/>
      <c r="Z60" s="133"/>
      <c r="AA60" s="733"/>
      <c r="AB60" s="733"/>
      <c r="AC60" s="130"/>
      <c r="AD60" s="130"/>
      <c r="AE60" s="130"/>
      <c r="AF60" s="130"/>
      <c r="AG60" s="130"/>
      <c r="AH60" s="130"/>
      <c r="AI60" s="130"/>
      <c r="AJ60" s="130"/>
      <c r="AK60" s="130"/>
      <c r="AL60" s="130"/>
      <c r="AM60" s="130"/>
      <c r="AN60" s="130"/>
      <c r="AO60" s="130"/>
    </row>
    <row r="61">
      <c r="A61" s="126" t="s">
        <v>225</v>
      </c>
      <c r="B61" s="410"/>
      <c r="C61" s="403"/>
      <c r="D61" s="403"/>
      <c r="E61" s="403"/>
      <c r="F61" s="403"/>
      <c r="G61" s="403"/>
      <c r="H61" s="403"/>
      <c r="I61" s="403"/>
      <c r="J61" s="403"/>
      <c r="K61" s="403"/>
      <c r="L61" s="403"/>
      <c r="M61" s="403"/>
      <c r="N61" s="403"/>
      <c r="O61" s="403"/>
      <c r="P61" s="403"/>
      <c r="Q61" s="403"/>
      <c r="R61" s="403"/>
      <c r="S61" s="403"/>
      <c r="T61" s="403"/>
      <c r="U61" s="403"/>
      <c r="V61" s="411"/>
      <c r="W61" s="403"/>
      <c r="X61" s="403"/>
      <c r="Y61" s="403"/>
      <c r="Z61" s="403"/>
      <c r="AA61" s="403"/>
      <c r="AB61" s="403"/>
      <c r="AC61" s="403"/>
      <c r="AD61" s="403"/>
      <c r="AE61" s="403"/>
      <c r="AF61" s="403"/>
      <c r="AG61" s="403"/>
      <c r="AH61" s="403"/>
      <c r="AI61" s="403"/>
      <c r="AJ61" s="403"/>
      <c r="AK61" s="403"/>
      <c r="AL61" s="403"/>
      <c r="AM61" s="403"/>
      <c r="AN61" s="403"/>
    </row>
    <row r="62">
      <c r="B62" s="138"/>
      <c r="T62" s="31"/>
    </row>
    <row r="63">
      <c r="B63" s="138"/>
      <c r="T63" s="31"/>
    </row>
    <row r="64">
      <c r="B64" s="138"/>
      <c r="T64" s="31"/>
    </row>
    <row r="65">
      <c r="B65" s="138"/>
      <c r="T65" s="31"/>
    </row>
    <row r="66">
      <c r="B66" s="138"/>
      <c r="T66" s="31"/>
    </row>
    <row r="67">
      <c r="B67" s="138"/>
      <c r="T67" s="31"/>
    </row>
    <row r="68">
      <c r="B68" s="138"/>
      <c r="T68" s="31"/>
    </row>
    <row r="69">
      <c r="B69" s="138"/>
      <c r="T69" s="31"/>
    </row>
    <row r="70">
      <c r="B70" s="138"/>
      <c r="T70" s="31"/>
    </row>
    <row r="71">
      <c r="B71" s="138"/>
      <c r="T71" s="31"/>
    </row>
    <row r="72">
      <c r="B72" s="138"/>
      <c r="T72" s="31"/>
    </row>
    <row r="73">
      <c r="B73" s="138"/>
      <c r="T73" s="31"/>
    </row>
    <row r="74">
      <c r="B74" s="138"/>
      <c r="T74" s="31"/>
    </row>
    <row r="75">
      <c r="B75" s="138"/>
      <c r="T75" s="31"/>
    </row>
    <row r="76">
      <c r="B76" s="138"/>
      <c r="T76" s="31"/>
    </row>
    <row r="77">
      <c r="B77" s="138"/>
      <c r="T77" s="31"/>
    </row>
    <row r="78">
      <c r="B78" s="138"/>
      <c r="T78" s="31"/>
    </row>
    <row r="79">
      <c r="B79" s="138"/>
      <c r="T79" s="31"/>
    </row>
    <row r="80">
      <c r="B80" s="138"/>
      <c r="T80" s="31"/>
    </row>
    <row r="81">
      <c r="B81" s="138"/>
      <c r="T81" s="31"/>
    </row>
    <row r="82">
      <c r="B82" s="138"/>
      <c r="T82" s="31"/>
    </row>
    <row r="83">
      <c r="B83" s="138"/>
      <c r="T83" s="31"/>
    </row>
    <row r="84">
      <c r="B84" s="138"/>
      <c r="T84" s="31"/>
    </row>
    <row r="85">
      <c r="B85" s="138"/>
      <c r="T85" s="31"/>
    </row>
    <row r="86">
      <c r="B86" s="138"/>
      <c r="T86" s="31"/>
    </row>
    <row r="87">
      <c r="B87" s="138"/>
      <c r="T87" s="31"/>
    </row>
    <row r="88">
      <c r="B88" s="138"/>
      <c r="T88" s="31"/>
    </row>
    <row r="89">
      <c r="B89" s="138"/>
      <c r="T89" s="31"/>
    </row>
    <row r="90">
      <c r="B90" s="138"/>
      <c r="T90" s="31"/>
    </row>
    <row r="91">
      <c r="B91" s="138"/>
      <c r="T91" s="31"/>
    </row>
    <row r="92">
      <c r="B92" s="138"/>
      <c r="T92" s="31"/>
    </row>
    <row r="93">
      <c r="B93" s="138"/>
      <c r="T93" s="31"/>
    </row>
    <row r="94">
      <c r="B94" s="138"/>
      <c r="T94" s="31"/>
    </row>
    <row r="95">
      <c r="B95" s="138"/>
      <c r="T95" s="31"/>
    </row>
    <row r="96">
      <c r="B96" s="138"/>
      <c r="T96" s="31"/>
    </row>
    <row r="97">
      <c r="B97" s="138"/>
      <c r="T97" s="31"/>
    </row>
    <row r="98">
      <c r="B98" s="138"/>
      <c r="T98" s="31"/>
    </row>
    <row r="99">
      <c r="B99" s="138"/>
      <c r="T99" s="31"/>
    </row>
    <row r="100">
      <c r="B100" s="138"/>
      <c r="T100" s="31"/>
    </row>
    <row r="101">
      <c r="B101" s="138"/>
      <c r="T101" s="31"/>
    </row>
    <row r="102">
      <c r="B102" s="138"/>
      <c r="T102" s="31"/>
    </row>
    <row r="103">
      <c r="B103" s="138"/>
      <c r="T103" s="31"/>
    </row>
    <row r="104">
      <c r="B104" s="138"/>
      <c r="T104" s="31"/>
    </row>
    <row r="105">
      <c r="B105" s="138"/>
      <c r="T105" s="31"/>
    </row>
    <row r="106">
      <c r="B106" s="138"/>
      <c r="T106" s="31"/>
    </row>
    <row r="107">
      <c r="B107" s="138"/>
      <c r="T107" s="31"/>
    </row>
    <row r="108">
      <c r="B108" s="138"/>
      <c r="T108" s="31"/>
    </row>
    <row r="109">
      <c r="B109" s="138"/>
      <c r="T109" s="31"/>
    </row>
    <row r="110">
      <c r="B110" s="138"/>
      <c r="T110" s="31"/>
    </row>
    <row r="111">
      <c r="B111" s="138"/>
      <c r="T111" s="31"/>
    </row>
    <row r="112">
      <c r="B112" s="138"/>
      <c r="T112" s="31"/>
    </row>
    <row r="113">
      <c r="B113" s="138"/>
      <c r="T113" s="31"/>
    </row>
    <row r="114">
      <c r="B114" s="138"/>
      <c r="T114" s="31"/>
    </row>
    <row r="115">
      <c r="B115" s="138"/>
      <c r="T115" s="31"/>
    </row>
    <row r="116">
      <c r="B116" s="138"/>
      <c r="T116" s="31"/>
    </row>
    <row r="117">
      <c r="B117" s="138"/>
      <c r="T117" s="31"/>
    </row>
    <row r="118">
      <c r="B118" s="138"/>
      <c r="T118" s="31"/>
    </row>
    <row r="119">
      <c r="B119" s="138"/>
      <c r="T119" s="31"/>
    </row>
    <row r="120">
      <c r="B120" s="138"/>
      <c r="T120" s="31"/>
    </row>
    <row r="121">
      <c r="B121" s="138"/>
      <c r="T121" s="31"/>
    </row>
    <row r="122">
      <c r="B122" s="138"/>
      <c r="T122" s="31"/>
    </row>
    <row r="123">
      <c r="B123" s="138"/>
      <c r="T123" s="31"/>
    </row>
    <row r="124">
      <c r="B124" s="138"/>
      <c r="T124" s="31"/>
    </row>
    <row r="125">
      <c r="B125" s="138"/>
      <c r="T125" s="31"/>
    </row>
    <row r="126">
      <c r="B126" s="138"/>
      <c r="T126" s="31"/>
    </row>
    <row r="127">
      <c r="B127" s="138"/>
      <c r="T127" s="31"/>
    </row>
    <row r="128">
      <c r="B128" s="138"/>
      <c r="T128" s="31"/>
    </row>
    <row r="129">
      <c r="B129" s="138"/>
      <c r="T129" s="31"/>
    </row>
    <row r="130">
      <c r="B130" s="138"/>
      <c r="T130" s="31"/>
    </row>
    <row r="131">
      <c r="B131" s="138"/>
      <c r="T131" s="31"/>
    </row>
    <row r="132">
      <c r="B132" s="138"/>
      <c r="T132" s="31"/>
    </row>
    <row r="133">
      <c r="B133" s="138"/>
      <c r="T133" s="31"/>
    </row>
    <row r="134">
      <c r="B134" s="138"/>
      <c r="T134" s="31"/>
    </row>
    <row r="135">
      <c r="B135" s="138"/>
      <c r="T135" s="31"/>
    </row>
    <row r="136">
      <c r="B136" s="138"/>
      <c r="T136" s="31"/>
    </row>
    <row r="137">
      <c r="B137" s="138"/>
      <c r="T137" s="31"/>
    </row>
    <row r="138">
      <c r="B138" s="138"/>
      <c r="T138" s="31"/>
    </row>
    <row r="139">
      <c r="B139" s="138"/>
      <c r="T139" s="31"/>
    </row>
    <row r="140">
      <c r="B140" s="138"/>
      <c r="T140" s="31"/>
    </row>
    <row r="141">
      <c r="B141" s="138"/>
      <c r="T141" s="31"/>
    </row>
    <row r="142">
      <c r="B142" s="138"/>
      <c r="T142" s="31"/>
    </row>
    <row r="143">
      <c r="B143" s="138"/>
      <c r="T143" s="31"/>
    </row>
    <row r="144">
      <c r="B144" s="138"/>
      <c r="T144" s="31"/>
    </row>
    <row r="145">
      <c r="B145" s="138"/>
      <c r="T145" s="31"/>
    </row>
    <row r="146">
      <c r="B146" s="138"/>
      <c r="T146" s="31"/>
    </row>
    <row r="147">
      <c r="B147" s="138"/>
      <c r="T147" s="31"/>
    </row>
    <row r="148">
      <c r="B148" s="138"/>
      <c r="T148" s="31"/>
    </row>
    <row r="149">
      <c r="B149" s="138"/>
      <c r="T149" s="31"/>
    </row>
    <row r="150">
      <c r="B150" s="138"/>
      <c r="T150" s="31"/>
    </row>
    <row r="151">
      <c r="B151" s="138"/>
      <c r="T151" s="31"/>
    </row>
    <row r="152">
      <c r="B152" s="138"/>
      <c r="T152" s="31"/>
    </row>
    <row r="153">
      <c r="B153" s="138"/>
      <c r="T153" s="31"/>
    </row>
    <row r="154">
      <c r="B154" s="138"/>
      <c r="T154" s="31"/>
    </row>
    <row r="155">
      <c r="B155" s="138"/>
      <c r="T155" s="31"/>
    </row>
    <row r="156">
      <c r="B156" s="138"/>
      <c r="T156" s="31"/>
    </row>
    <row r="157">
      <c r="B157" s="138"/>
      <c r="T157" s="31"/>
    </row>
    <row r="158">
      <c r="B158" s="138"/>
      <c r="T158" s="31"/>
    </row>
    <row r="159">
      <c r="B159" s="138"/>
      <c r="T159" s="31"/>
    </row>
    <row r="160">
      <c r="B160" s="138"/>
      <c r="T160" s="31"/>
    </row>
    <row r="161">
      <c r="B161" s="138"/>
      <c r="T161" s="31"/>
    </row>
    <row r="162">
      <c r="B162" s="138"/>
      <c r="T162" s="31"/>
    </row>
    <row r="163">
      <c r="B163" s="138"/>
      <c r="T163" s="31"/>
    </row>
    <row r="164">
      <c r="B164" s="138"/>
      <c r="T164" s="31"/>
    </row>
    <row r="165">
      <c r="B165" s="138"/>
      <c r="T165" s="31"/>
    </row>
    <row r="166">
      <c r="B166" s="138"/>
      <c r="T166" s="31"/>
    </row>
    <row r="167">
      <c r="B167" s="138"/>
      <c r="T167" s="31"/>
    </row>
    <row r="168">
      <c r="B168" s="138"/>
      <c r="T168" s="31"/>
    </row>
    <row r="169">
      <c r="B169" s="138"/>
      <c r="T169" s="31"/>
    </row>
    <row r="170">
      <c r="B170" s="138"/>
      <c r="T170" s="31"/>
    </row>
    <row r="171">
      <c r="B171" s="138"/>
      <c r="T171" s="31"/>
    </row>
    <row r="172">
      <c r="B172" s="138"/>
      <c r="T172" s="31"/>
    </row>
    <row r="173">
      <c r="B173" s="138"/>
      <c r="T173" s="31"/>
    </row>
    <row r="174">
      <c r="B174" s="138"/>
      <c r="T174" s="31"/>
    </row>
    <row r="175">
      <c r="B175" s="138"/>
      <c r="T175" s="31"/>
    </row>
    <row r="176">
      <c r="B176" s="138"/>
      <c r="T176" s="31"/>
    </row>
    <row r="177">
      <c r="B177" s="138"/>
      <c r="T177" s="31"/>
    </row>
    <row r="178">
      <c r="B178" s="138"/>
      <c r="T178" s="31"/>
    </row>
    <row r="179">
      <c r="B179" s="138"/>
      <c r="T179" s="31"/>
    </row>
    <row r="180">
      <c r="B180" s="138"/>
      <c r="T180" s="31"/>
    </row>
    <row r="181">
      <c r="B181" s="138"/>
      <c r="T181" s="31"/>
    </row>
    <row r="182">
      <c r="B182" s="138"/>
      <c r="T182" s="31"/>
    </row>
    <row r="183">
      <c r="B183" s="138"/>
      <c r="T183" s="31"/>
    </row>
    <row r="184">
      <c r="B184" s="138"/>
      <c r="T184" s="31"/>
    </row>
    <row r="185">
      <c r="B185" s="138"/>
      <c r="T185" s="31"/>
    </row>
    <row r="186">
      <c r="B186" s="138"/>
      <c r="T186" s="31"/>
    </row>
    <row r="187">
      <c r="B187" s="138"/>
      <c r="T187" s="31"/>
    </row>
    <row r="188">
      <c r="B188" s="138"/>
      <c r="T188" s="31"/>
    </row>
    <row r="189">
      <c r="B189" s="138"/>
      <c r="T189" s="31"/>
    </row>
    <row r="190">
      <c r="B190" s="138"/>
      <c r="T190" s="31"/>
    </row>
    <row r="191">
      <c r="B191" s="138"/>
      <c r="T191" s="31"/>
    </row>
    <row r="192">
      <c r="B192" s="138"/>
      <c r="T192" s="31"/>
    </row>
    <row r="193">
      <c r="B193" s="138"/>
      <c r="T193" s="31"/>
    </row>
    <row r="194">
      <c r="B194" s="138"/>
      <c r="T194" s="31"/>
    </row>
    <row r="195">
      <c r="B195" s="138"/>
      <c r="T195" s="31"/>
    </row>
    <row r="196">
      <c r="B196" s="138"/>
      <c r="T196" s="31"/>
    </row>
    <row r="197">
      <c r="B197" s="138"/>
      <c r="T197" s="31"/>
    </row>
    <row r="198">
      <c r="B198" s="138"/>
      <c r="T198" s="31"/>
    </row>
    <row r="199">
      <c r="B199" s="138"/>
      <c r="T199" s="31"/>
    </row>
    <row r="200">
      <c r="B200" s="138"/>
      <c r="T200" s="31"/>
    </row>
    <row r="201">
      <c r="B201" s="138"/>
      <c r="T201" s="31"/>
    </row>
    <row r="202">
      <c r="B202" s="138"/>
      <c r="T202" s="31"/>
    </row>
    <row r="203">
      <c r="B203" s="138"/>
      <c r="T203" s="31"/>
    </row>
    <row r="204">
      <c r="B204" s="138"/>
      <c r="T204" s="31"/>
    </row>
    <row r="205">
      <c r="B205" s="138"/>
      <c r="T205" s="31"/>
    </row>
    <row r="206">
      <c r="B206" s="138"/>
      <c r="T206" s="31"/>
    </row>
    <row r="207">
      <c r="B207" s="138"/>
      <c r="T207" s="31"/>
    </row>
    <row r="208">
      <c r="B208" s="138"/>
      <c r="T208" s="31"/>
    </row>
    <row r="209">
      <c r="B209" s="138"/>
      <c r="T209" s="31"/>
    </row>
    <row r="210">
      <c r="B210" s="138"/>
      <c r="T210" s="31"/>
    </row>
    <row r="211">
      <c r="B211" s="138"/>
      <c r="T211" s="31"/>
    </row>
    <row r="212">
      <c r="B212" s="138"/>
      <c r="T212" s="31"/>
    </row>
    <row r="213">
      <c r="B213" s="138"/>
      <c r="T213" s="31"/>
    </row>
    <row r="214">
      <c r="B214" s="138"/>
      <c r="T214" s="31"/>
    </row>
    <row r="215">
      <c r="B215" s="138"/>
      <c r="T215" s="31"/>
    </row>
    <row r="216">
      <c r="B216" s="138"/>
      <c r="T216" s="31"/>
    </row>
    <row r="217">
      <c r="B217" s="138"/>
      <c r="T217" s="31"/>
    </row>
    <row r="218">
      <c r="B218" s="138"/>
      <c r="T218" s="31"/>
    </row>
    <row r="219">
      <c r="B219" s="138"/>
      <c r="T219" s="31"/>
    </row>
    <row r="220">
      <c r="B220" s="138"/>
      <c r="T220" s="31"/>
    </row>
    <row r="221">
      <c r="B221" s="138"/>
      <c r="T221" s="31"/>
    </row>
    <row r="222">
      <c r="B222" s="138"/>
      <c r="T222" s="31"/>
    </row>
    <row r="223">
      <c r="B223" s="138"/>
      <c r="T223" s="31"/>
    </row>
    <row r="224">
      <c r="B224" s="138"/>
      <c r="T224" s="31"/>
    </row>
    <row r="225">
      <c r="B225" s="138"/>
      <c r="T225" s="31"/>
    </row>
    <row r="226">
      <c r="B226" s="138"/>
      <c r="T226" s="31"/>
    </row>
    <row r="227">
      <c r="B227" s="138"/>
      <c r="T227" s="31"/>
    </row>
    <row r="228">
      <c r="B228" s="138"/>
      <c r="T228" s="31"/>
    </row>
    <row r="229">
      <c r="B229" s="138"/>
      <c r="T229" s="31"/>
    </row>
    <row r="230">
      <c r="B230" s="138"/>
      <c r="T230" s="31"/>
    </row>
    <row r="231">
      <c r="B231" s="138"/>
      <c r="T231" s="31"/>
    </row>
    <row r="232">
      <c r="B232" s="138"/>
      <c r="T232" s="31"/>
    </row>
    <row r="233">
      <c r="B233" s="138"/>
      <c r="T233" s="31"/>
    </row>
    <row r="234">
      <c r="B234" s="138"/>
      <c r="T234" s="31"/>
    </row>
    <row r="235">
      <c r="B235" s="138"/>
      <c r="T235" s="31"/>
    </row>
    <row r="236">
      <c r="B236" s="138"/>
      <c r="T236" s="31"/>
    </row>
    <row r="237">
      <c r="B237" s="138"/>
      <c r="T237" s="31"/>
    </row>
    <row r="238">
      <c r="B238" s="138"/>
      <c r="T238" s="31"/>
    </row>
    <row r="239">
      <c r="B239" s="138"/>
      <c r="T239" s="31"/>
    </row>
    <row r="240">
      <c r="B240" s="138"/>
      <c r="T240" s="31"/>
    </row>
    <row r="241">
      <c r="B241" s="138"/>
      <c r="T241" s="31"/>
    </row>
    <row r="242">
      <c r="B242" s="138"/>
      <c r="T242" s="31"/>
    </row>
    <row r="243">
      <c r="B243" s="138"/>
      <c r="T243" s="31"/>
    </row>
    <row r="244">
      <c r="B244" s="138"/>
      <c r="T244" s="31"/>
    </row>
    <row r="245">
      <c r="B245" s="138"/>
      <c r="T245" s="31"/>
    </row>
    <row r="246">
      <c r="B246" s="138"/>
      <c r="T246" s="31"/>
    </row>
    <row r="247">
      <c r="B247" s="138"/>
      <c r="T247" s="31"/>
    </row>
    <row r="248">
      <c r="B248" s="138"/>
      <c r="T248" s="31"/>
    </row>
    <row r="249">
      <c r="B249" s="138"/>
      <c r="T249" s="31"/>
    </row>
    <row r="250">
      <c r="B250" s="138"/>
      <c r="T250" s="31"/>
    </row>
    <row r="251">
      <c r="B251" s="138"/>
      <c r="T251" s="31"/>
    </row>
    <row r="252">
      <c r="B252" s="138"/>
      <c r="T252" s="31"/>
    </row>
    <row r="253">
      <c r="B253" s="138"/>
      <c r="T253" s="31"/>
    </row>
    <row r="254">
      <c r="B254" s="138"/>
      <c r="T254" s="31"/>
    </row>
    <row r="255">
      <c r="B255" s="138"/>
      <c r="T255" s="31"/>
    </row>
    <row r="256">
      <c r="B256" s="138"/>
      <c r="T256" s="31"/>
    </row>
    <row r="257">
      <c r="B257" s="138"/>
      <c r="T257" s="31"/>
    </row>
    <row r="258">
      <c r="B258" s="138"/>
      <c r="T258" s="31"/>
    </row>
    <row r="259">
      <c r="B259" s="138"/>
      <c r="T259" s="31"/>
    </row>
    <row r="260">
      <c r="B260" s="138"/>
      <c r="T260" s="31"/>
    </row>
    <row r="261">
      <c r="B261" s="138"/>
      <c r="T261" s="31"/>
    </row>
    <row r="262">
      <c r="B262" s="138"/>
      <c r="T262" s="31"/>
    </row>
    <row r="263">
      <c r="B263" s="138"/>
      <c r="T263" s="31"/>
    </row>
    <row r="264">
      <c r="B264" s="138"/>
      <c r="T264" s="31"/>
    </row>
    <row r="265">
      <c r="B265" s="138"/>
      <c r="T265" s="31"/>
    </row>
    <row r="266">
      <c r="B266" s="138"/>
      <c r="T266" s="31"/>
    </row>
    <row r="267">
      <c r="B267" s="138"/>
      <c r="T267" s="31"/>
    </row>
    <row r="268">
      <c r="B268" s="138"/>
      <c r="T268" s="31"/>
    </row>
    <row r="269">
      <c r="B269" s="138"/>
      <c r="T269" s="31"/>
    </row>
    <row r="270">
      <c r="B270" s="138"/>
      <c r="T270" s="31"/>
    </row>
    <row r="271">
      <c r="B271" s="138"/>
      <c r="T271" s="31"/>
    </row>
    <row r="272">
      <c r="B272" s="138"/>
      <c r="T272" s="31"/>
    </row>
    <row r="273">
      <c r="B273" s="138"/>
      <c r="T273" s="31"/>
    </row>
    <row r="274">
      <c r="B274" s="138"/>
      <c r="T274" s="31"/>
    </row>
    <row r="275">
      <c r="B275" s="138"/>
      <c r="T275" s="31"/>
    </row>
    <row r="276">
      <c r="B276" s="138"/>
      <c r="T276" s="31"/>
    </row>
    <row r="277">
      <c r="B277" s="138"/>
      <c r="T277" s="31"/>
    </row>
    <row r="278">
      <c r="B278" s="138"/>
      <c r="T278" s="31"/>
    </row>
    <row r="279">
      <c r="B279" s="138"/>
      <c r="T279" s="31"/>
    </row>
    <row r="280">
      <c r="B280" s="138"/>
      <c r="T280" s="31"/>
    </row>
    <row r="281">
      <c r="B281" s="138"/>
      <c r="T281" s="31"/>
    </row>
    <row r="282">
      <c r="B282" s="138"/>
      <c r="T282" s="31"/>
    </row>
    <row r="283">
      <c r="B283" s="138"/>
      <c r="T283" s="31"/>
    </row>
    <row r="284">
      <c r="B284" s="138"/>
      <c r="T284" s="31"/>
    </row>
    <row r="285">
      <c r="B285" s="138"/>
      <c r="T285" s="31"/>
    </row>
    <row r="286">
      <c r="B286" s="138"/>
      <c r="T286" s="31"/>
    </row>
    <row r="287">
      <c r="B287" s="138"/>
      <c r="T287" s="31"/>
    </row>
    <row r="288">
      <c r="B288" s="138"/>
      <c r="T288" s="31"/>
    </row>
    <row r="289">
      <c r="B289" s="138"/>
      <c r="T289" s="31"/>
    </row>
    <row r="290">
      <c r="B290" s="138"/>
      <c r="T290" s="31"/>
    </row>
    <row r="291">
      <c r="B291" s="138"/>
      <c r="T291" s="31"/>
    </row>
    <row r="292">
      <c r="B292" s="138"/>
      <c r="T292" s="31"/>
    </row>
    <row r="293">
      <c r="B293" s="138"/>
      <c r="T293" s="31"/>
    </row>
    <row r="294">
      <c r="B294" s="138"/>
      <c r="T294" s="31"/>
    </row>
    <row r="295">
      <c r="B295" s="138"/>
      <c r="T295" s="31"/>
    </row>
    <row r="296">
      <c r="B296" s="138"/>
      <c r="T296" s="31"/>
    </row>
    <row r="297">
      <c r="B297" s="138"/>
      <c r="T297" s="31"/>
    </row>
    <row r="298">
      <c r="B298" s="138"/>
      <c r="T298" s="31"/>
    </row>
    <row r="299">
      <c r="B299" s="138"/>
      <c r="T299" s="31"/>
    </row>
    <row r="300">
      <c r="B300" s="138"/>
      <c r="T300" s="31"/>
    </row>
    <row r="301">
      <c r="B301" s="138"/>
      <c r="T301" s="31"/>
    </row>
    <row r="302">
      <c r="B302" s="138"/>
      <c r="T302" s="31"/>
    </row>
    <row r="303">
      <c r="B303" s="138"/>
      <c r="T303" s="31"/>
    </row>
    <row r="304">
      <c r="B304" s="138"/>
      <c r="T304" s="31"/>
    </row>
    <row r="305">
      <c r="B305" s="138"/>
      <c r="T305" s="31"/>
    </row>
    <row r="306">
      <c r="B306" s="138"/>
      <c r="T306" s="31"/>
    </row>
    <row r="307">
      <c r="B307" s="138"/>
      <c r="T307" s="31"/>
    </row>
    <row r="308">
      <c r="B308" s="138"/>
      <c r="T308" s="31"/>
    </row>
    <row r="309">
      <c r="B309" s="138"/>
      <c r="T309" s="31"/>
    </row>
    <row r="310">
      <c r="B310" s="138"/>
      <c r="T310" s="31"/>
    </row>
    <row r="311">
      <c r="B311" s="138"/>
      <c r="T311" s="31"/>
    </row>
    <row r="312">
      <c r="B312" s="138"/>
      <c r="T312" s="31"/>
    </row>
    <row r="313">
      <c r="B313" s="138"/>
      <c r="T313" s="31"/>
    </row>
    <row r="314">
      <c r="B314" s="138"/>
      <c r="T314" s="31"/>
    </row>
    <row r="315">
      <c r="B315" s="138"/>
      <c r="T315" s="31"/>
    </row>
    <row r="316">
      <c r="B316" s="138"/>
      <c r="T316" s="31"/>
    </row>
    <row r="317">
      <c r="B317" s="138"/>
      <c r="T317" s="31"/>
    </row>
    <row r="318">
      <c r="B318" s="138"/>
      <c r="T318" s="31"/>
    </row>
    <row r="319">
      <c r="B319" s="138"/>
      <c r="T319" s="31"/>
    </row>
    <row r="320">
      <c r="B320" s="138"/>
      <c r="T320" s="31"/>
    </row>
    <row r="321">
      <c r="B321" s="138"/>
      <c r="T321" s="31"/>
    </row>
    <row r="322">
      <c r="B322" s="138"/>
      <c r="T322" s="31"/>
    </row>
    <row r="323">
      <c r="B323" s="138"/>
      <c r="T323" s="31"/>
    </row>
    <row r="324">
      <c r="B324" s="138"/>
      <c r="T324" s="31"/>
    </row>
    <row r="325">
      <c r="B325" s="138"/>
      <c r="T325" s="31"/>
    </row>
    <row r="326">
      <c r="B326" s="138"/>
      <c r="T326" s="31"/>
    </row>
    <row r="327">
      <c r="B327" s="138"/>
      <c r="T327" s="31"/>
    </row>
    <row r="328">
      <c r="B328" s="138"/>
      <c r="T328" s="31"/>
    </row>
    <row r="329">
      <c r="B329" s="138"/>
      <c r="T329" s="31"/>
    </row>
    <row r="330">
      <c r="B330" s="138"/>
      <c r="T330" s="31"/>
    </row>
    <row r="331">
      <c r="B331" s="138"/>
      <c r="T331" s="31"/>
    </row>
    <row r="332">
      <c r="B332" s="138"/>
      <c r="T332" s="31"/>
    </row>
    <row r="333">
      <c r="B333" s="138"/>
      <c r="T333" s="31"/>
    </row>
    <row r="334">
      <c r="B334" s="138"/>
      <c r="T334" s="31"/>
    </row>
    <row r="335">
      <c r="B335" s="138"/>
      <c r="T335" s="31"/>
    </row>
    <row r="336">
      <c r="B336" s="138"/>
      <c r="T336" s="31"/>
    </row>
    <row r="337">
      <c r="B337" s="138"/>
      <c r="T337" s="31"/>
    </row>
    <row r="338">
      <c r="B338" s="138"/>
      <c r="T338" s="31"/>
    </row>
    <row r="339">
      <c r="B339" s="138"/>
      <c r="T339" s="31"/>
    </row>
    <row r="340">
      <c r="B340" s="138"/>
      <c r="T340" s="31"/>
    </row>
    <row r="341">
      <c r="B341" s="138"/>
      <c r="T341" s="31"/>
    </row>
    <row r="342">
      <c r="B342" s="138"/>
      <c r="T342" s="31"/>
    </row>
    <row r="343">
      <c r="B343" s="138"/>
      <c r="T343" s="31"/>
    </row>
    <row r="344">
      <c r="B344" s="138"/>
      <c r="T344" s="31"/>
    </row>
    <row r="345">
      <c r="B345" s="138"/>
      <c r="T345" s="31"/>
    </row>
    <row r="346">
      <c r="B346" s="138"/>
      <c r="T346" s="31"/>
    </row>
    <row r="347">
      <c r="B347" s="138"/>
      <c r="T347" s="31"/>
    </row>
    <row r="348">
      <c r="B348" s="138"/>
      <c r="T348" s="31"/>
    </row>
    <row r="349">
      <c r="B349" s="138"/>
      <c r="T349" s="31"/>
    </row>
    <row r="350">
      <c r="B350" s="138"/>
      <c r="T350" s="31"/>
    </row>
    <row r="351">
      <c r="B351" s="138"/>
      <c r="T351" s="31"/>
    </row>
    <row r="352">
      <c r="B352" s="138"/>
      <c r="T352" s="31"/>
    </row>
    <row r="353">
      <c r="B353" s="138"/>
      <c r="T353" s="31"/>
    </row>
    <row r="354">
      <c r="B354" s="138"/>
      <c r="T354" s="31"/>
    </row>
    <row r="355">
      <c r="B355" s="138"/>
      <c r="T355" s="31"/>
    </row>
    <row r="356">
      <c r="B356" s="138"/>
      <c r="T356" s="31"/>
    </row>
    <row r="357">
      <c r="B357" s="138"/>
      <c r="T357" s="31"/>
    </row>
    <row r="358">
      <c r="B358" s="138"/>
      <c r="T358" s="31"/>
    </row>
    <row r="359">
      <c r="B359" s="138"/>
      <c r="T359" s="31"/>
    </row>
    <row r="360">
      <c r="B360" s="138"/>
      <c r="T360" s="31"/>
    </row>
    <row r="361">
      <c r="B361" s="138"/>
      <c r="T361" s="31"/>
    </row>
    <row r="362">
      <c r="B362" s="138"/>
      <c r="T362" s="31"/>
    </row>
    <row r="363">
      <c r="B363" s="138"/>
      <c r="T363" s="31"/>
    </row>
    <row r="364">
      <c r="B364" s="138"/>
      <c r="T364" s="31"/>
    </row>
    <row r="365">
      <c r="B365" s="138"/>
      <c r="T365" s="31"/>
    </row>
    <row r="366">
      <c r="B366" s="138"/>
      <c r="T366" s="31"/>
    </row>
    <row r="367">
      <c r="B367" s="138"/>
      <c r="T367" s="31"/>
    </row>
    <row r="368">
      <c r="B368" s="138"/>
      <c r="T368" s="31"/>
    </row>
    <row r="369">
      <c r="B369" s="138"/>
      <c r="T369" s="31"/>
    </row>
    <row r="370">
      <c r="B370" s="138"/>
      <c r="T370" s="31"/>
    </row>
    <row r="371">
      <c r="B371" s="138"/>
      <c r="T371" s="31"/>
    </row>
    <row r="372">
      <c r="B372" s="138"/>
      <c r="T372" s="31"/>
    </row>
    <row r="373">
      <c r="B373" s="138"/>
      <c r="T373" s="31"/>
    </row>
    <row r="374">
      <c r="B374" s="138"/>
      <c r="T374" s="31"/>
    </row>
    <row r="375">
      <c r="B375" s="138"/>
      <c r="T375" s="31"/>
    </row>
    <row r="376">
      <c r="B376" s="138"/>
      <c r="T376" s="31"/>
    </row>
    <row r="377">
      <c r="B377" s="138"/>
      <c r="T377" s="31"/>
    </row>
    <row r="378">
      <c r="B378" s="138"/>
      <c r="T378" s="31"/>
    </row>
    <row r="379">
      <c r="B379" s="138"/>
      <c r="T379" s="31"/>
    </row>
    <row r="380">
      <c r="B380" s="138"/>
      <c r="T380" s="31"/>
    </row>
    <row r="381">
      <c r="B381" s="138"/>
      <c r="T381" s="31"/>
    </row>
    <row r="382">
      <c r="B382" s="138"/>
      <c r="T382" s="31"/>
    </row>
    <row r="383">
      <c r="B383" s="138"/>
      <c r="T383" s="31"/>
    </row>
    <row r="384">
      <c r="B384" s="138"/>
      <c r="T384" s="31"/>
    </row>
    <row r="385">
      <c r="B385" s="138"/>
      <c r="T385" s="31"/>
    </row>
    <row r="386">
      <c r="B386" s="138"/>
      <c r="T386" s="31"/>
    </row>
    <row r="387">
      <c r="B387" s="138"/>
      <c r="T387" s="31"/>
    </row>
    <row r="388">
      <c r="B388" s="138"/>
      <c r="T388" s="31"/>
    </row>
    <row r="389">
      <c r="B389" s="138"/>
      <c r="T389" s="31"/>
    </row>
    <row r="390">
      <c r="B390" s="138"/>
      <c r="T390" s="31"/>
    </row>
    <row r="391">
      <c r="B391" s="138"/>
      <c r="T391" s="31"/>
    </row>
    <row r="392">
      <c r="B392" s="138"/>
      <c r="T392" s="31"/>
    </row>
    <row r="393">
      <c r="B393" s="138"/>
      <c r="T393" s="31"/>
    </row>
    <row r="394">
      <c r="B394" s="138"/>
      <c r="T394" s="31"/>
    </row>
    <row r="395">
      <c r="B395" s="138"/>
      <c r="T395" s="31"/>
    </row>
    <row r="396">
      <c r="B396" s="138"/>
      <c r="T396" s="31"/>
    </row>
    <row r="397">
      <c r="B397" s="138"/>
      <c r="T397" s="31"/>
    </row>
    <row r="398">
      <c r="B398" s="138"/>
      <c r="T398" s="31"/>
    </row>
    <row r="399">
      <c r="B399" s="138"/>
      <c r="T399" s="31"/>
    </row>
    <row r="400">
      <c r="B400" s="138"/>
      <c r="T400" s="31"/>
    </row>
    <row r="401">
      <c r="B401" s="138"/>
      <c r="T401" s="31"/>
    </row>
    <row r="402">
      <c r="B402" s="138"/>
      <c r="T402" s="31"/>
    </row>
    <row r="403">
      <c r="B403" s="138"/>
      <c r="T403" s="31"/>
    </row>
    <row r="404">
      <c r="B404" s="138"/>
      <c r="T404" s="31"/>
    </row>
    <row r="405">
      <c r="B405" s="138"/>
      <c r="T405" s="31"/>
    </row>
    <row r="406">
      <c r="B406" s="138"/>
      <c r="T406" s="31"/>
    </row>
    <row r="407">
      <c r="B407" s="138"/>
      <c r="T407" s="31"/>
    </row>
    <row r="408">
      <c r="B408" s="138"/>
      <c r="T408" s="31"/>
    </row>
    <row r="409">
      <c r="B409" s="138"/>
      <c r="T409" s="31"/>
    </row>
    <row r="410">
      <c r="B410" s="138"/>
      <c r="T410" s="31"/>
    </row>
    <row r="411">
      <c r="B411" s="138"/>
      <c r="T411" s="31"/>
    </row>
    <row r="412">
      <c r="B412" s="138"/>
      <c r="T412" s="31"/>
    </row>
    <row r="413">
      <c r="B413" s="138"/>
      <c r="T413" s="31"/>
    </row>
    <row r="414">
      <c r="B414" s="138"/>
      <c r="T414" s="31"/>
    </row>
    <row r="415">
      <c r="B415" s="138"/>
      <c r="T415" s="31"/>
    </row>
    <row r="416">
      <c r="B416" s="138"/>
      <c r="T416" s="31"/>
    </row>
    <row r="417">
      <c r="B417" s="138"/>
      <c r="T417" s="31"/>
    </row>
    <row r="418">
      <c r="B418" s="138"/>
      <c r="T418" s="31"/>
    </row>
    <row r="419">
      <c r="B419" s="138"/>
      <c r="T419" s="31"/>
    </row>
    <row r="420">
      <c r="B420" s="138"/>
      <c r="T420" s="31"/>
    </row>
    <row r="421">
      <c r="B421" s="138"/>
      <c r="T421" s="31"/>
    </row>
    <row r="422">
      <c r="B422" s="138"/>
      <c r="T422" s="31"/>
    </row>
    <row r="423">
      <c r="B423" s="138"/>
      <c r="T423" s="31"/>
    </row>
    <row r="424">
      <c r="B424" s="138"/>
      <c r="T424" s="31"/>
    </row>
    <row r="425">
      <c r="B425" s="138"/>
      <c r="T425" s="31"/>
    </row>
    <row r="426">
      <c r="B426" s="138"/>
      <c r="T426" s="31"/>
    </row>
    <row r="427">
      <c r="B427" s="138"/>
      <c r="T427" s="31"/>
    </row>
    <row r="428">
      <c r="B428" s="138"/>
      <c r="T428" s="31"/>
    </row>
    <row r="429">
      <c r="B429" s="138"/>
      <c r="T429" s="31"/>
    </row>
    <row r="430">
      <c r="B430" s="138"/>
      <c r="T430" s="31"/>
    </row>
    <row r="431">
      <c r="B431" s="138"/>
      <c r="T431" s="31"/>
    </row>
    <row r="432">
      <c r="B432" s="138"/>
      <c r="T432" s="31"/>
    </row>
    <row r="433">
      <c r="B433" s="138"/>
      <c r="T433" s="31"/>
    </row>
    <row r="434">
      <c r="B434" s="138"/>
      <c r="T434" s="31"/>
    </row>
    <row r="435">
      <c r="B435" s="138"/>
      <c r="T435" s="31"/>
    </row>
    <row r="436">
      <c r="B436" s="138"/>
      <c r="T436" s="31"/>
    </row>
    <row r="437">
      <c r="B437" s="138"/>
      <c r="T437" s="31"/>
    </row>
    <row r="438">
      <c r="B438" s="138"/>
      <c r="T438" s="31"/>
    </row>
    <row r="439">
      <c r="B439" s="138"/>
      <c r="T439" s="31"/>
    </row>
    <row r="440">
      <c r="B440" s="138"/>
      <c r="T440" s="31"/>
    </row>
    <row r="441">
      <c r="B441" s="138"/>
      <c r="T441" s="31"/>
    </row>
    <row r="442">
      <c r="B442" s="138"/>
      <c r="T442" s="31"/>
    </row>
    <row r="443">
      <c r="B443" s="138"/>
      <c r="T443" s="31"/>
    </row>
    <row r="444">
      <c r="B444" s="138"/>
      <c r="T444" s="31"/>
    </row>
    <row r="445">
      <c r="B445" s="138"/>
      <c r="T445" s="31"/>
    </row>
    <row r="446">
      <c r="B446" s="138"/>
      <c r="T446" s="31"/>
    </row>
    <row r="447">
      <c r="B447" s="138"/>
      <c r="T447" s="31"/>
    </row>
    <row r="448">
      <c r="B448" s="138"/>
      <c r="T448" s="31"/>
    </row>
    <row r="449">
      <c r="B449" s="138"/>
      <c r="T449" s="31"/>
    </row>
    <row r="450">
      <c r="B450" s="138"/>
      <c r="T450" s="31"/>
    </row>
    <row r="451">
      <c r="B451" s="138"/>
      <c r="T451" s="31"/>
    </row>
    <row r="452">
      <c r="B452" s="138"/>
      <c r="T452" s="31"/>
    </row>
    <row r="453">
      <c r="B453" s="138"/>
      <c r="T453" s="31"/>
    </row>
    <row r="454">
      <c r="B454" s="138"/>
      <c r="T454" s="31"/>
    </row>
    <row r="455">
      <c r="B455" s="138"/>
      <c r="T455" s="31"/>
    </row>
    <row r="456">
      <c r="B456" s="138"/>
      <c r="T456" s="31"/>
    </row>
    <row r="457">
      <c r="B457" s="138"/>
      <c r="T457" s="31"/>
    </row>
    <row r="458">
      <c r="B458" s="138"/>
      <c r="T458" s="31"/>
    </row>
    <row r="459">
      <c r="B459" s="138"/>
      <c r="T459" s="31"/>
    </row>
    <row r="460">
      <c r="B460" s="138"/>
      <c r="T460" s="31"/>
    </row>
    <row r="461">
      <c r="B461" s="138"/>
      <c r="T461" s="31"/>
    </row>
    <row r="462">
      <c r="B462" s="138"/>
      <c r="T462" s="31"/>
    </row>
    <row r="463">
      <c r="B463" s="138"/>
      <c r="T463" s="31"/>
    </row>
    <row r="464">
      <c r="B464" s="138"/>
      <c r="T464" s="31"/>
    </row>
    <row r="465">
      <c r="B465" s="138"/>
      <c r="T465" s="31"/>
    </row>
    <row r="466">
      <c r="B466" s="138"/>
      <c r="T466" s="31"/>
    </row>
    <row r="467">
      <c r="B467" s="138"/>
      <c r="T467" s="31"/>
    </row>
    <row r="468">
      <c r="B468" s="138"/>
      <c r="T468" s="31"/>
    </row>
    <row r="469">
      <c r="B469" s="138"/>
      <c r="T469" s="31"/>
    </row>
    <row r="470">
      <c r="B470" s="138"/>
      <c r="T470" s="31"/>
    </row>
    <row r="471">
      <c r="B471" s="138"/>
      <c r="T471" s="31"/>
    </row>
    <row r="472">
      <c r="B472" s="138"/>
      <c r="T472" s="31"/>
    </row>
    <row r="473">
      <c r="B473" s="138"/>
      <c r="T473" s="31"/>
    </row>
    <row r="474">
      <c r="B474" s="138"/>
      <c r="T474" s="31"/>
    </row>
    <row r="475">
      <c r="B475" s="138"/>
      <c r="T475" s="31"/>
    </row>
    <row r="476">
      <c r="B476" s="138"/>
      <c r="T476" s="31"/>
    </row>
    <row r="477">
      <c r="B477" s="138"/>
      <c r="T477" s="31"/>
    </row>
    <row r="478">
      <c r="B478" s="138"/>
      <c r="T478" s="31"/>
    </row>
    <row r="479">
      <c r="B479" s="138"/>
      <c r="T479" s="31"/>
    </row>
    <row r="480">
      <c r="B480" s="138"/>
      <c r="T480" s="31"/>
    </row>
    <row r="481">
      <c r="B481" s="138"/>
      <c r="T481" s="31"/>
    </row>
    <row r="482">
      <c r="B482" s="138"/>
      <c r="T482" s="31"/>
    </row>
    <row r="483">
      <c r="B483" s="138"/>
      <c r="T483" s="31"/>
    </row>
    <row r="484">
      <c r="B484" s="138"/>
      <c r="T484" s="31"/>
    </row>
    <row r="485">
      <c r="B485" s="138"/>
      <c r="T485" s="31"/>
    </row>
    <row r="486">
      <c r="B486" s="138"/>
      <c r="T486" s="31"/>
    </row>
    <row r="487">
      <c r="B487" s="138"/>
      <c r="T487" s="31"/>
    </row>
    <row r="488">
      <c r="B488" s="138"/>
      <c r="T488" s="31"/>
    </row>
    <row r="489">
      <c r="B489" s="138"/>
      <c r="T489" s="31"/>
    </row>
    <row r="490">
      <c r="B490" s="138"/>
      <c r="T490" s="31"/>
    </row>
    <row r="491">
      <c r="B491" s="138"/>
      <c r="T491" s="31"/>
    </row>
    <row r="492">
      <c r="B492" s="138"/>
      <c r="T492" s="31"/>
    </row>
    <row r="493">
      <c r="B493" s="138"/>
      <c r="T493" s="31"/>
    </row>
    <row r="494">
      <c r="B494" s="138"/>
      <c r="T494" s="31"/>
    </row>
    <row r="495">
      <c r="B495" s="138"/>
      <c r="T495" s="31"/>
    </row>
    <row r="496">
      <c r="B496" s="138"/>
      <c r="T496" s="31"/>
    </row>
    <row r="497">
      <c r="B497" s="138"/>
      <c r="T497" s="31"/>
    </row>
    <row r="498">
      <c r="B498" s="138"/>
      <c r="T498" s="31"/>
    </row>
    <row r="499">
      <c r="B499" s="138"/>
      <c r="T499" s="31"/>
    </row>
    <row r="500">
      <c r="B500" s="138"/>
      <c r="T500" s="31"/>
    </row>
    <row r="501">
      <c r="B501" s="138"/>
      <c r="T501" s="31"/>
    </row>
    <row r="502">
      <c r="B502" s="138"/>
      <c r="T502" s="31"/>
    </row>
    <row r="503">
      <c r="B503" s="138"/>
      <c r="T503" s="31"/>
    </row>
    <row r="504">
      <c r="B504" s="138"/>
      <c r="T504" s="31"/>
    </row>
    <row r="505">
      <c r="B505" s="138"/>
      <c r="T505" s="31"/>
    </row>
    <row r="506">
      <c r="B506" s="138"/>
      <c r="T506" s="31"/>
    </row>
    <row r="507">
      <c r="B507" s="138"/>
      <c r="T507" s="31"/>
    </row>
    <row r="508">
      <c r="B508" s="138"/>
      <c r="T508" s="31"/>
    </row>
    <row r="509">
      <c r="B509" s="138"/>
      <c r="T509" s="31"/>
    </row>
    <row r="510">
      <c r="B510" s="138"/>
      <c r="T510" s="31"/>
    </row>
    <row r="511">
      <c r="B511" s="138"/>
      <c r="T511" s="31"/>
    </row>
    <row r="512">
      <c r="B512" s="138"/>
      <c r="T512" s="31"/>
    </row>
    <row r="513">
      <c r="B513" s="138"/>
      <c r="T513" s="31"/>
    </row>
    <row r="514">
      <c r="B514" s="138"/>
      <c r="T514" s="31"/>
    </row>
    <row r="515">
      <c r="B515" s="138"/>
      <c r="T515" s="31"/>
    </row>
    <row r="516">
      <c r="B516" s="138"/>
      <c r="T516" s="31"/>
    </row>
    <row r="517">
      <c r="B517" s="138"/>
      <c r="T517" s="31"/>
    </row>
    <row r="518">
      <c r="B518" s="138"/>
      <c r="T518" s="31"/>
    </row>
    <row r="519">
      <c r="B519" s="138"/>
      <c r="T519" s="31"/>
    </row>
    <row r="520">
      <c r="B520" s="138"/>
      <c r="T520" s="31"/>
    </row>
    <row r="521">
      <c r="B521" s="138"/>
      <c r="T521" s="31"/>
    </row>
    <row r="522">
      <c r="B522" s="138"/>
      <c r="T522" s="31"/>
    </row>
    <row r="523">
      <c r="B523" s="138"/>
      <c r="T523" s="31"/>
    </row>
    <row r="524">
      <c r="B524" s="138"/>
      <c r="T524" s="31"/>
    </row>
    <row r="525">
      <c r="B525" s="138"/>
      <c r="T525" s="31"/>
    </row>
    <row r="526">
      <c r="B526" s="138"/>
      <c r="T526" s="31"/>
    </row>
    <row r="527">
      <c r="B527" s="138"/>
      <c r="T527" s="31"/>
    </row>
    <row r="528">
      <c r="B528" s="138"/>
      <c r="T528" s="31"/>
    </row>
    <row r="529">
      <c r="B529" s="138"/>
      <c r="T529" s="31"/>
    </row>
    <row r="530">
      <c r="B530" s="138"/>
      <c r="T530" s="31"/>
    </row>
    <row r="531">
      <c r="B531" s="138"/>
      <c r="T531" s="31"/>
    </row>
    <row r="532">
      <c r="B532" s="138"/>
      <c r="T532" s="31"/>
    </row>
    <row r="533">
      <c r="B533" s="138"/>
      <c r="T533" s="31"/>
    </row>
    <row r="534">
      <c r="B534" s="138"/>
      <c r="T534" s="31"/>
    </row>
    <row r="535">
      <c r="B535" s="138"/>
      <c r="T535" s="31"/>
    </row>
    <row r="536">
      <c r="B536" s="138"/>
      <c r="T536" s="31"/>
    </row>
    <row r="537">
      <c r="B537" s="138"/>
      <c r="T537" s="31"/>
    </row>
    <row r="538">
      <c r="B538" s="138"/>
      <c r="T538" s="31"/>
    </row>
    <row r="539">
      <c r="B539" s="138"/>
      <c r="T539" s="31"/>
    </row>
    <row r="540">
      <c r="B540" s="138"/>
      <c r="T540" s="31"/>
    </row>
    <row r="541">
      <c r="B541" s="138"/>
      <c r="T541" s="31"/>
    </row>
    <row r="542">
      <c r="B542" s="138"/>
      <c r="T542" s="31"/>
    </row>
    <row r="543">
      <c r="B543" s="138"/>
      <c r="T543" s="31"/>
    </row>
    <row r="544">
      <c r="B544" s="138"/>
      <c r="T544" s="31"/>
    </row>
    <row r="545">
      <c r="B545" s="138"/>
      <c r="T545" s="31"/>
    </row>
    <row r="546">
      <c r="B546" s="138"/>
      <c r="T546" s="31"/>
    </row>
    <row r="547">
      <c r="B547" s="138"/>
      <c r="T547" s="31"/>
    </row>
    <row r="548">
      <c r="B548" s="138"/>
      <c r="T548" s="31"/>
    </row>
    <row r="549">
      <c r="B549" s="138"/>
      <c r="T549" s="31"/>
    </row>
    <row r="550">
      <c r="B550" s="138"/>
      <c r="T550" s="31"/>
    </row>
    <row r="551">
      <c r="B551" s="138"/>
      <c r="T551" s="31"/>
    </row>
    <row r="552">
      <c r="B552" s="138"/>
      <c r="T552" s="31"/>
    </row>
    <row r="553">
      <c r="B553" s="138"/>
      <c r="T553" s="31"/>
    </row>
    <row r="554">
      <c r="B554" s="138"/>
      <c r="T554" s="31"/>
    </row>
    <row r="555">
      <c r="B555" s="138"/>
      <c r="T555" s="31"/>
    </row>
    <row r="556">
      <c r="B556" s="138"/>
      <c r="T556" s="31"/>
    </row>
    <row r="557">
      <c r="B557" s="138"/>
      <c r="T557" s="31"/>
    </row>
    <row r="558">
      <c r="B558" s="138"/>
      <c r="T558" s="31"/>
    </row>
    <row r="559">
      <c r="B559" s="138"/>
      <c r="T559" s="31"/>
    </row>
    <row r="560">
      <c r="B560" s="138"/>
      <c r="T560" s="31"/>
    </row>
    <row r="561">
      <c r="B561" s="138"/>
      <c r="T561" s="31"/>
    </row>
    <row r="562">
      <c r="B562" s="138"/>
      <c r="T562" s="31"/>
    </row>
    <row r="563">
      <c r="B563" s="138"/>
      <c r="T563" s="31"/>
    </row>
    <row r="564">
      <c r="B564" s="138"/>
      <c r="T564" s="31"/>
    </row>
    <row r="565">
      <c r="B565" s="138"/>
      <c r="T565" s="31"/>
    </row>
    <row r="566">
      <c r="B566" s="138"/>
      <c r="T566" s="31"/>
    </row>
    <row r="567">
      <c r="B567" s="138"/>
      <c r="T567" s="31"/>
    </row>
    <row r="568">
      <c r="B568" s="138"/>
      <c r="T568" s="31"/>
    </row>
    <row r="569">
      <c r="B569" s="138"/>
      <c r="T569" s="31"/>
    </row>
    <row r="570">
      <c r="B570" s="138"/>
      <c r="T570" s="31"/>
    </row>
    <row r="571">
      <c r="B571" s="138"/>
      <c r="T571" s="31"/>
    </row>
    <row r="572">
      <c r="B572" s="138"/>
      <c r="T572" s="31"/>
    </row>
    <row r="573">
      <c r="B573" s="138"/>
      <c r="T573" s="31"/>
    </row>
    <row r="574">
      <c r="B574" s="138"/>
      <c r="T574" s="31"/>
    </row>
    <row r="575">
      <c r="B575" s="138"/>
      <c r="T575" s="31"/>
    </row>
    <row r="576">
      <c r="B576" s="138"/>
      <c r="T576" s="31"/>
    </row>
    <row r="577">
      <c r="B577" s="138"/>
      <c r="T577" s="31"/>
    </row>
    <row r="578">
      <c r="B578" s="138"/>
      <c r="T578" s="31"/>
    </row>
    <row r="579">
      <c r="B579" s="138"/>
      <c r="T579" s="31"/>
    </row>
    <row r="580">
      <c r="B580" s="138"/>
      <c r="T580" s="31"/>
    </row>
    <row r="581">
      <c r="B581" s="138"/>
      <c r="T581" s="31"/>
    </row>
    <row r="582">
      <c r="B582" s="138"/>
      <c r="T582" s="31"/>
    </row>
    <row r="583">
      <c r="B583" s="138"/>
      <c r="T583" s="31"/>
    </row>
    <row r="584">
      <c r="B584" s="138"/>
      <c r="T584" s="31"/>
    </row>
    <row r="585">
      <c r="B585" s="138"/>
      <c r="T585" s="31"/>
    </row>
    <row r="586">
      <c r="B586" s="138"/>
      <c r="T586" s="31"/>
    </row>
    <row r="587">
      <c r="B587" s="138"/>
      <c r="T587" s="31"/>
    </row>
    <row r="588">
      <c r="B588" s="138"/>
      <c r="T588" s="31"/>
    </row>
    <row r="589">
      <c r="B589" s="138"/>
      <c r="T589" s="31"/>
    </row>
    <row r="590">
      <c r="B590" s="138"/>
      <c r="T590" s="31"/>
    </row>
    <row r="591">
      <c r="B591" s="138"/>
      <c r="T591" s="31"/>
    </row>
    <row r="592">
      <c r="B592" s="138"/>
      <c r="T592" s="31"/>
    </row>
    <row r="593">
      <c r="B593" s="138"/>
      <c r="T593" s="31"/>
    </row>
    <row r="594">
      <c r="B594" s="138"/>
      <c r="T594" s="31"/>
    </row>
    <row r="595">
      <c r="B595" s="138"/>
      <c r="T595" s="31"/>
    </row>
    <row r="596">
      <c r="B596" s="138"/>
      <c r="T596" s="31"/>
    </row>
    <row r="597">
      <c r="B597" s="138"/>
      <c r="T597" s="31"/>
    </row>
    <row r="598">
      <c r="B598" s="138"/>
      <c r="T598" s="31"/>
    </row>
    <row r="599">
      <c r="B599" s="138"/>
      <c r="T599" s="31"/>
    </row>
    <row r="600">
      <c r="B600" s="138"/>
      <c r="T600" s="31"/>
    </row>
    <row r="601">
      <c r="B601" s="138"/>
      <c r="T601" s="31"/>
    </row>
    <row r="602">
      <c r="B602" s="138"/>
      <c r="T602" s="31"/>
    </row>
    <row r="603">
      <c r="B603" s="138"/>
      <c r="T603" s="31"/>
    </row>
    <row r="604">
      <c r="B604" s="138"/>
      <c r="T604" s="31"/>
    </row>
    <row r="605">
      <c r="B605" s="138"/>
      <c r="T605" s="31"/>
    </row>
    <row r="606">
      <c r="B606" s="138"/>
      <c r="T606" s="31"/>
    </row>
    <row r="607">
      <c r="B607" s="138"/>
      <c r="T607" s="31"/>
    </row>
    <row r="608">
      <c r="B608" s="138"/>
      <c r="T608" s="31"/>
    </row>
    <row r="609">
      <c r="B609" s="138"/>
      <c r="T609" s="31"/>
    </row>
    <row r="610">
      <c r="B610" s="138"/>
      <c r="T610" s="31"/>
    </row>
    <row r="611">
      <c r="B611" s="138"/>
      <c r="T611" s="31"/>
    </row>
    <row r="612">
      <c r="B612" s="138"/>
      <c r="T612" s="31"/>
    </row>
    <row r="613">
      <c r="B613" s="138"/>
      <c r="T613" s="31"/>
    </row>
    <row r="614">
      <c r="B614" s="138"/>
      <c r="T614" s="31"/>
    </row>
    <row r="615">
      <c r="B615" s="138"/>
      <c r="T615" s="31"/>
    </row>
    <row r="616">
      <c r="B616" s="138"/>
      <c r="T616" s="31"/>
    </row>
    <row r="617">
      <c r="B617" s="138"/>
      <c r="T617" s="31"/>
    </row>
    <row r="618">
      <c r="B618" s="138"/>
      <c r="T618" s="31"/>
    </row>
    <row r="619">
      <c r="B619" s="138"/>
      <c r="T619" s="31"/>
    </row>
    <row r="620">
      <c r="B620" s="138"/>
      <c r="T620" s="31"/>
    </row>
    <row r="621">
      <c r="B621" s="138"/>
      <c r="T621" s="31"/>
    </row>
    <row r="622">
      <c r="B622" s="138"/>
      <c r="T622" s="31"/>
    </row>
    <row r="623">
      <c r="B623" s="138"/>
      <c r="T623" s="31"/>
    </row>
    <row r="624">
      <c r="B624" s="138"/>
      <c r="T624" s="31"/>
    </row>
    <row r="625">
      <c r="B625" s="138"/>
      <c r="T625" s="31"/>
    </row>
    <row r="626">
      <c r="B626" s="138"/>
      <c r="T626" s="31"/>
    </row>
    <row r="627">
      <c r="B627" s="138"/>
      <c r="T627" s="31"/>
    </row>
    <row r="628">
      <c r="B628" s="138"/>
      <c r="T628" s="31"/>
    </row>
    <row r="629">
      <c r="B629" s="138"/>
      <c r="T629" s="31"/>
    </row>
    <row r="630">
      <c r="B630" s="138"/>
      <c r="T630" s="31"/>
    </row>
    <row r="631">
      <c r="B631" s="138"/>
      <c r="T631" s="31"/>
    </row>
    <row r="632">
      <c r="B632" s="138"/>
      <c r="T632" s="31"/>
    </row>
    <row r="633">
      <c r="B633" s="138"/>
      <c r="T633" s="31"/>
    </row>
    <row r="634">
      <c r="B634" s="138"/>
      <c r="T634" s="31"/>
    </row>
    <row r="635">
      <c r="B635" s="138"/>
      <c r="T635" s="31"/>
    </row>
    <row r="636">
      <c r="B636" s="138"/>
      <c r="T636" s="31"/>
    </row>
    <row r="637">
      <c r="B637" s="138"/>
      <c r="T637" s="31"/>
    </row>
    <row r="638">
      <c r="B638" s="138"/>
      <c r="T638" s="31"/>
    </row>
    <row r="639">
      <c r="B639" s="138"/>
      <c r="T639" s="31"/>
    </row>
    <row r="640">
      <c r="B640" s="138"/>
      <c r="T640" s="31"/>
    </row>
    <row r="641">
      <c r="B641" s="138"/>
      <c r="T641" s="31"/>
    </row>
    <row r="642">
      <c r="B642" s="138"/>
      <c r="T642" s="31"/>
    </row>
    <row r="643">
      <c r="B643" s="138"/>
      <c r="T643" s="31"/>
    </row>
    <row r="644">
      <c r="B644" s="138"/>
      <c r="T644" s="31"/>
    </row>
    <row r="645">
      <c r="B645" s="138"/>
      <c r="T645" s="31"/>
    </row>
    <row r="646">
      <c r="B646" s="138"/>
      <c r="T646" s="31"/>
    </row>
    <row r="647">
      <c r="B647" s="138"/>
      <c r="T647" s="31"/>
    </row>
    <row r="648">
      <c r="B648" s="138"/>
      <c r="T648" s="31"/>
    </row>
    <row r="649">
      <c r="B649" s="138"/>
      <c r="T649" s="31"/>
    </row>
    <row r="650">
      <c r="B650" s="138"/>
      <c r="T650" s="31"/>
    </row>
    <row r="651">
      <c r="B651" s="138"/>
      <c r="T651" s="31"/>
    </row>
    <row r="652">
      <c r="B652" s="138"/>
      <c r="T652" s="31"/>
    </row>
    <row r="653">
      <c r="B653" s="138"/>
      <c r="T653" s="31"/>
    </row>
    <row r="654">
      <c r="B654" s="138"/>
      <c r="T654" s="31"/>
    </row>
    <row r="655">
      <c r="B655" s="138"/>
      <c r="T655" s="31"/>
    </row>
    <row r="656">
      <c r="B656" s="138"/>
      <c r="T656" s="31"/>
    </row>
    <row r="657">
      <c r="B657" s="138"/>
      <c r="T657" s="31"/>
    </row>
    <row r="658">
      <c r="B658" s="138"/>
      <c r="T658" s="31"/>
    </row>
    <row r="659">
      <c r="B659" s="138"/>
      <c r="T659" s="31"/>
    </row>
    <row r="660">
      <c r="B660" s="138"/>
      <c r="T660" s="31"/>
    </row>
    <row r="661">
      <c r="B661" s="138"/>
      <c r="T661" s="31"/>
    </row>
    <row r="662">
      <c r="B662" s="138"/>
      <c r="T662" s="31"/>
    </row>
    <row r="663">
      <c r="B663" s="138"/>
      <c r="T663" s="31"/>
    </row>
    <row r="664">
      <c r="B664" s="138"/>
      <c r="T664" s="31"/>
    </row>
    <row r="665">
      <c r="B665" s="138"/>
      <c r="T665" s="31"/>
    </row>
    <row r="666">
      <c r="B666" s="138"/>
      <c r="T666" s="31"/>
    </row>
    <row r="667">
      <c r="B667" s="138"/>
      <c r="T667" s="31"/>
    </row>
    <row r="668">
      <c r="B668" s="138"/>
      <c r="T668" s="31"/>
    </row>
    <row r="669">
      <c r="B669" s="138"/>
      <c r="T669" s="31"/>
    </row>
    <row r="670">
      <c r="B670" s="138"/>
      <c r="T670" s="31"/>
    </row>
    <row r="671">
      <c r="B671" s="138"/>
      <c r="T671" s="31"/>
    </row>
    <row r="672">
      <c r="B672" s="138"/>
      <c r="T672" s="31"/>
    </row>
    <row r="673">
      <c r="B673" s="138"/>
      <c r="T673" s="31"/>
    </row>
    <row r="674">
      <c r="B674" s="138"/>
      <c r="T674" s="31"/>
    </row>
    <row r="675">
      <c r="B675" s="138"/>
      <c r="T675" s="31"/>
    </row>
    <row r="676">
      <c r="B676" s="138"/>
      <c r="T676" s="31"/>
    </row>
    <row r="677">
      <c r="B677" s="138"/>
      <c r="T677" s="31"/>
    </row>
    <row r="678">
      <c r="B678" s="138"/>
      <c r="T678" s="31"/>
    </row>
    <row r="679">
      <c r="B679" s="138"/>
      <c r="T679" s="31"/>
    </row>
    <row r="680">
      <c r="B680" s="138"/>
      <c r="T680" s="31"/>
    </row>
    <row r="681">
      <c r="B681" s="138"/>
      <c r="T681" s="31"/>
    </row>
    <row r="682">
      <c r="B682" s="138"/>
      <c r="T682" s="31"/>
    </row>
    <row r="683">
      <c r="B683" s="138"/>
      <c r="T683" s="31"/>
    </row>
    <row r="684">
      <c r="B684" s="138"/>
      <c r="T684" s="31"/>
    </row>
    <row r="685">
      <c r="B685" s="138"/>
      <c r="T685" s="31"/>
    </row>
    <row r="686">
      <c r="B686" s="138"/>
      <c r="T686" s="31"/>
    </row>
    <row r="687">
      <c r="B687" s="138"/>
      <c r="T687" s="31"/>
    </row>
    <row r="688">
      <c r="B688" s="138"/>
      <c r="T688" s="31"/>
    </row>
    <row r="689">
      <c r="B689" s="138"/>
      <c r="T689" s="31"/>
    </row>
    <row r="690">
      <c r="B690" s="138"/>
      <c r="T690" s="31"/>
    </row>
    <row r="691">
      <c r="B691" s="138"/>
      <c r="T691" s="31"/>
    </row>
    <row r="692">
      <c r="B692" s="138"/>
      <c r="T692" s="31"/>
    </row>
    <row r="693">
      <c r="B693" s="138"/>
      <c r="T693" s="31"/>
    </row>
    <row r="694">
      <c r="B694" s="138"/>
      <c r="T694" s="31"/>
    </row>
    <row r="695">
      <c r="B695" s="138"/>
      <c r="T695" s="31"/>
    </row>
    <row r="696">
      <c r="B696" s="138"/>
      <c r="T696" s="31"/>
    </row>
    <row r="697">
      <c r="B697" s="138"/>
      <c r="T697" s="31"/>
    </row>
    <row r="698">
      <c r="B698" s="138"/>
      <c r="T698" s="31"/>
    </row>
    <row r="699">
      <c r="B699" s="138"/>
      <c r="T699" s="31"/>
    </row>
    <row r="700">
      <c r="B700" s="138"/>
      <c r="T700" s="31"/>
    </row>
    <row r="701">
      <c r="B701" s="138"/>
      <c r="T701" s="31"/>
    </row>
    <row r="702">
      <c r="B702" s="138"/>
      <c r="T702" s="31"/>
    </row>
    <row r="703">
      <c r="B703" s="138"/>
      <c r="T703" s="31"/>
    </row>
    <row r="704">
      <c r="B704" s="138"/>
      <c r="T704" s="31"/>
    </row>
    <row r="705">
      <c r="B705" s="138"/>
      <c r="T705" s="31"/>
    </row>
    <row r="706">
      <c r="B706" s="138"/>
      <c r="T706" s="31"/>
    </row>
    <row r="707">
      <c r="B707" s="138"/>
      <c r="T707" s="31"/>
    </row>
    <row r="708">
      <c r="B708" s="138"/>
      <c r="T708" s="31"/>
    </row>
    <row r="709">
      <c r="B709" s="138"/>
      <c r="T709" s="31"/>
    </row>
    <row r="710">
      <c r="B710" s="138"/>
      <c r="T710" s="31"/>
    </row>
    <row r="711">
      <c r="B711" s="138"/>
      <c r="T711" s="31"/>
    </row>
    <row r="712">
      <c r="B712" s="138"/>
      <c r="T712" s="31"/>
    </row>
    <row r="713">
      <c r="B713" s="138"/>
      <c r="T713" s="31"/>
    </row>
    <row r="714">
      <c r="B714" s="138"/>
      <c r="T714" s="31"/>
    </row>
    <row r="715">
      <c r="B715" s="138"/>
      <c r="T715" s="31"/>
    </row>
    <row r="716">
      <c r="B716" s="138"/>
      <c r="T716" s="31"/>
    </row>
    <row r="717">
      <c r="B717" s="138"/>
      <c r="T717" s="31"/>
    </row>
    <row r="718">
      <c r="B718" s="138"/>
      <c r="T718" s="31"/>
    </row>
    <row r="719">
      <c r="B719" s="138"/>
      <c r="T719" s="31"/>
    </row>
    <row r="720">
      <c r="B720" s="138"/>
      <c r="T720" s="31"/>
    </row>
    <row r="721">
      <c r="B721" s="138"/>
      <c r="T721" s="31"/>
    </row>
    <row r="722">
      <c r="B722" s="138"/>
      <c r="T722" s="31"/>
    </row>
    <row r="723">
      <c r="B723" s="138"/>
      <c r="T723" s="31"/>
    </row>
    <row r="724">
      <c r="B724" s="138"/>
      <c r="T724" s="31"/>
    </row>
    <row r="725">
      <c r="B725" s="138"/>
      <c r="T725" s="31"/>
    </row>
    <row r="726">
      <c r="B726" s="138"/>
      <c r="T726" s="31"/>
    </row>
    <row r="727">
      <c r="B727" s="138"/>
      <c r="T727" s="31"/>
    </row>
    <row r="728">
      <c r="B728" s="138"/>
      <c r="T728" s="31"/>
    </row>
    <row r="729">
      <c r="B729" s="138"/>
      <c r="T729" s="31"/>
    </row>
    <row r="730">
      <c r="B730" s="138"/>
      <c r="T730" s="31"/>
    </row>
    <row r="731">
      <c r="B731" s="138"/>
      <c r="T731" s="31"/>
    </row>
    <row r="732">
      <c r="B732" s="138"/>
      <c r="T732" s="31"/>
    </row>
    <row r="733">
      <c r="B733" s="138"/>
      <c r="T733" s="31"/>
    </row>
    <row r="734">
      <c r="B734" s="138"/>
      <c r="T734" s="31"/>
    </row>
    <row r="735">
      <c r="B735" s="138"/>
      <c r="T735" s="31"/>
    </row>
    <row r="736">
      <c r="B736" s="138"/>
      <c r="T736" s="31"/>
    </row>
    <row r="737">
      <c r="B737" s="138"/>
      <c r="T737" s="31"/>
    </row>
    <row r="738">
      <c r="B738" s="138"/>
      <c r="T738" s="31"/>
    </row>
    <row r="739">
      <c r="B739" s="138"/>
      <c r="T739" s="31"/>
    </row>
    <row r="740">
      <c r="B740" s="138"/>
      <c r="T740" s="31"/>
    </row>
    <row r="741">
      <c r="B741" s="138"/>
      <c r="T741" s="31"/>
    </row>
    <row r="742">
      <c r="B742" s="138"/>
      <c r="T742" s="31"/>
    </row>
    <row r="743">
      <c r="B743" s="138"/>
      <c r="T743" s="31"/>
    </row>
    <row r="744">
      <c r="B744" s="138"/>
      <c r="T744" s="31"/>
    </row>
    <row r="745">
      <c r="B745" s="138"/>
      <c r="T745" s="31"/>
    </row>
    <row r="746">
      <c r="B746" s="138"/>
      <c r="T746" s="31"/>
    </row>
    <row r="747">
      <c r="B747" s="138"/>
      <c r="T747" s="31"/>
    </row>
    <row r="748">
      <c r="B748" s="138"/>
      <c r="T748" s="31"/>
    </row>
    <row r="749">
      <c r="B749" s="138"/>
      <c r="T749" s="31"/>
    </row>
    <row r="750">
      <c r="B750" s="138"/>
      <c r="T750" s="31"/>
    </row>
    <row r="751">
      <c r="B751" s="138"/>
      <c r="T751" s="31"/>
    </row>
    <row r="752">
      <c r="B752" s="138"/>
      <c r="T752" s="31"/>
    </row>
    <row r="753">
      <c r="B753" s="138"/>
      <c r="T753" s="31"/>
    </row>
    <row r="754">
      <c r="B754" s="138"/>
      <c r="T754" s="31"/>
    </row>
    <row r="755">
      <c r="B755" s="138"/>
      <c r="T755" s="31"/>
    </row>
    <row r="756">
      <c r="B756" s="138"/>
      <c r="T756" s="31"/>
    </row>
    <row r="757">
      <c r="B757" s="138"/>
      <c r="T757" s="31"/>
    </row>
    <row r="758">
      <c r="B758" s="138"/>
      <c r="T758" s="31"/>
    </row>
    <row r="759">
      <c r="B759" s="138"/>
      <c r="T759" s="31"/>
    </row>
    <row r="760">
      <c r="B760" s="138"/>
      <c r="T760" s="31"/>
    </row>
    <row r="761">
      <c r="B761" s="138"/>
      <c r="T761" s="31"/>
    </row>
    <row r="762">
      <c r="B762" s="138"/>
      <c r="T762" s="31"/>
    </row>
    <row r="763">
      <c r="B763" s="138"/>
      <c r="T763" s="31"/>
    </row>
    <row r="764">
      <c r="B764" s="138"/>
      <c r="T764" s="31"/>
    </row>
    <row r="765">
      <c r="B765" s="138"/>
      <c r="T765" s="31"/>
    </row>
    <row r="766">
      <c r="B766" s="138"/>
      <c r="T766" s="31"/>
    </row>
    <row r="767">
      <c r="B767" s="138"/>
      <c r="T767" s="31"/>
    </row>
    <row r="768">
      <c r="B768" s="138"/>
      <c r="T768" s="31"/>
    </row>
    <row r="769">
      <c r="B769" s="138"/>
      <c r="T769" s="31"/>
    </row>
    <row r="770">
      <c r="B770" s="138"/>
      <c r="T770" s="31"/>
    </row>
    <row r="771">
      <c r="B771" s="138"/>
      <c r="T771" s="31"/>
    </row>
    <row r="772">
      <c r="B772" s="138"/>
      <c r="T772" s="31"/>
    </row>
    <row r="773">
      <c r="B773" s="138"/>
      <c r="T773" s="31"/>
    </row>
    <row r="774">
      <c r="B774" s="138"/>
      <c r="T774" s="31"/>
    </row>
    <row r="775">
      <c r="B775" s="138"/>
      <c r="T775" s="31"/>
    </row>
    <row r="776">
      <c r="B776" s="138"/>
      <c r="T776" s="31"/>
    </row>
    <row r="777">
      <c r="B777" s="138"/>
      <c r="T777" s="31"/>
    </row>
    <row r="778">
      <c r="B778" s="138"/>
      <c r="T778" s="31"/>
    </row>
    <row r="779">
      <c r="B779" s="138"/>
      <c r="T779" s="31"/>
    </row>
    <row r="780">
      <c r="B780" s="138"/>
      <c r="T780" s="31"/>
    </row>
    <row r="781">
      <c r="B781" s="138"/>
      <c r="T781" s="31"/>
    </row>
    <row r="782">
      <c r="B782" s="138"/>
      <c r="T782" s="31"/>
    </row>
    <row r="783">
      <c r="B783" s="138"/>
      <c r="T783" s="31"/>
    </row>
    <row r="784">
      <c r="B784" s="138"/>
      <c r="T784" s="31"/>
    </row>
    <row r="785">
      <c r="B785" s="138"/>
      <c r="T785" s="31"/>
    </row>
    <row r="786">
      <c r="B786" s="138"/>
      <c r="T786" s="31"/>
    </row>
    <row r="787">
      <c r="B787" s="138"/>
      <c r="T787" s="31"/>
    </row>
    <row r="788">
      <c r="B788" s="138"/>
      <c r="T788" s="31"/>
    </row>
    <row r="789">
      <c r="B789" s="138"/>
      <c r="T789" s="31"/>
    </row>
    <row r="790">
      <c r="B790" s="138"/>
      <c r="T790" s="31"/>
    </row>
    <row r="791">
      <c r="B791" s="138"/>
      <c r="T791" s="31"/>
    </row>
    <row r="792">
      <c r="B792" s="138"/>
      <c r="T792" s="31"/>
    </row>
    <row r="793">
      <c r="B793" s="138"/>
      <c r="T793" s="31"/>
    </row>
    <row r="794">
      <c r="B794" s="138"/>
      <c r="T794" s="31"/>
    </row>
    <row r="795">
      <c r="B795" s="138"/>
      <c r="T795" s="31"/>
    </row>
    <row r="796">
      <c r="B796" s="138"/>
      <c r="T796" s="31"/>
    </row>
    <row r="797">
      <c r="B797" s="138"/>
      <c r="T797" s="31"/>
    </row>
    <row r="798">
      <c r="B798" s="138"/>
      <c r="T798" s="31"/>
    </row>
    <row r="799">
      <c r="B799" s="138"/>
      <c r="T799" s="31"/>
    </row>
    <row r="800">
      <c r="B800" s="138"/>
      <c r="T800" s="31"/>
    </row>
    <row r="801">
      <c r="B801" s="138"/>
      <c r="T801" s="31"/>
    </row>
    <row r="802">
      <c r="B802" s="138"/>
      <c r="T802" s="31"/>
    </row>
    <row r="803">
      <c r="B803" s="138"/>
      <c r="T803" s="31"/>
    </row>
    <row r="804">
      <c r="B804" s="138"/>
      <c r="T804" s="31"/>
    </row>
    <row r="805">
      <c r="B805" s="138"/>
      <c r="T805" s="31"/>
    </row>
    <row r="806">
      <c r="B806" s="138"/>
      <c r="T806" s="31"/>
    </row>
    <row r="807">
      <c r="B807" s="138"/>
      <c r="T807" s="31"/>
    </row>
    <row r="808">
      <c r="B808" s="138"/>
      <c r="T808" s="31"/>
    </row>
    <row r="809">
      <c r="B809" s="138"/>
      <c r="T809" s="31"/>
    </row>
    <row r="810">
      <c r="B810" s="138"/>
      <c r="T810" s="31"/>
    </row>
    <row r="811">
      <c r="B811" s="138"/>
      <c r="T811" s="31"/>
    </row>
    <row r="812">
      <c r="B812" s="138"/>
      <c r="T812" s="31"/>
    </row>
    <row r="813">
      <c r="B813" s="138"/>
      <c r="T813" s="31"/>
    </row>
    <row r="814">
      <c r="B814" s="138"/>
      <c r="T814" s="31"/>
    </row>
    <row r="815">
      <c r="B815" s="138"/>
      <c r="T815" s="31"/>
    </row>
    <row r="816">
      <c r="B816" s="138"/>
      <c r="T816" s="31"/>
    </row>
    <row r="817">
      <c r="B817" s="138"/>
      <c r="T817" s="31"/>
    </row>
    <row r="818">
      <c r="B818" s="138"/>
      <c r="T818" s="31"/>
    </row>
    <row r="819">
      <c r="B819" s="138"/>
      <c r="T819" s="31"/>
    </row>
    <row r="820">
      <c r="B820" s="138"/>
      <c r="T820" s="31"/>
    </row>
    <row r="821">
      <c r="B821" s="138"/>
      <c r="T821" s="31"/>
    </row>
    <row r="822">
      <c r="B822" s="138"/>
      <c r="T822" s="31"/>
    </row>
    <row r="823">
      <c r="B823" s="138"/>
      <c r="T823" s="31"/>
    </row>
    <row r="824">
      <c r="B824" s="138"/>
      <c r="T824" s="31"/>
    </row>
    <row r="825">
      <c r="B825" s="138"/>
      <c r="T825" s="31"/>
    </row>
    <row r="826">
      <c r="B826" s="138"/>
      <c r="T826" s="31"/>
    </row>
    <row r="827">
      <c r="B827" s="138"/>
      <c r="T827" s="31"/>
    </row>
    <row r="828">
      <c r="B828" s="138"/>
      <c r="T828" s="31"/>
    </row>
    <row r="829">
      <c r="B829" s="138"/>
      <c r="T829" s="31"/>
    </row>
    <row r="830">
      <c r="B830" s="138"/>
      <c r="T830" s="31"/>
    </row>
    <row r="831">
      <c r="B831" s="138"/>
      <c r="T831" s="31"/>
    </row>
    <row r="832">
      <c r="B832" s="138"/>
      <c r="T832" s="31"/>
    </row>
    <row r="833">
      <c r="B833" s="138"/>
      <c r="T833" s="31"/>
    </row>
    <row r="834">
      <c r="B834" s="138"/>
      <c r="T834" s="31"/>
    </row>
    <row r="835">
      <c r="B835" s="138"/>
      <c r="T835" s="31"/>
    </row>
    <row r="836">
      <c r="B836" s="138"/>
      <c r="T836" s="31"/>
    </row>
    <row r="837">
      <c r="B837" s="138"/>
      <c r="T837" s="31"/>
    </row>
    <row r="838">
      <c r="B838" s="138"/>
      <c r="T838" s="31"/>
    </row>
    <row r="839">
      <c r="B839" s="138"/>
      <c r="T839" s="31"/>
    </row>
    <row r="840">
      <c r="B840" s="138"/>
      <c r="T840" s="31"/>
    </row>
    <row r="841">
      <c r="B841" s="138"/>
      <c r="T841" s="31"/>
    </row>
    <row r="842">
      <c r="B842" s="138"/>
      <c r="T842" s="31"/>
    </row>
    <row r="843">
      <c r="B843" s="138"/>
      <c r="T843" s="31"/>
    </row>
    <row r="844">
      <c r="B844" s="138"/>
      <c r="T844" s="31"/>
    </row>
    <row r="845">
      <c r="B845" s="138"/>
      <c r="T845" s="31"/>
    </row>
    <row r="846">
      <c r="B846" s="138"/>
      <c r="T846" s="31"/>
    </row>
    <row r="847">
      <c r="B847" s="138"/>
      <c r="T847" s="31"/>
    </row>
    <row r="848">
      <c r="B848" s="138"/>
      <c r="T848" s="31"/>
    </row>
    <row r="849">
      <c r="B849" s="138"/>
      <c r="T849" s="31"/>
    </row>
    <row r="850">
      <c r="B850" s="138"/>
      <c r="T850" s="31"/>
    </row>
    <row r="851">
      <c r="B851" s="138"/>
      <c r="T851" s="31"/>
    </row>
    <row r="852">
      <c r="B852" s="138"/>
      <c r="T852" s="31"/>
    </row>
    <row r="853">
      <c r="B853" s="138"/>
      <c r="T853" s="31"/>
    </row>
    <row r="854">
      <c r="B854" s="138"/>
      <c r="T854" s="31"/>
    </row>
    <row r="855">
      <c r="B855" s="138"/>
      <c r="T855" s="31"/>
    </row>
    <row r="856">
      <c r="B856" s="138"/>
      <c r="T856" s="31"/>
    </row>
    <row r="857">
      <c r="B857" s="138"/>
      <c r="T857" s="31"/>
    </row>
    <row r="858">
      <c r="B858" s="138"/>
      <c r="T858" s="31"/>
    </row>
    <row r="859">
      <c r="B859" s="138"/>
      <c r="T859" s="31"/>
    </row>
    <row r="860">
      <c r="B860" s="138"/>
      <c r="T860" s="31"/>
    </row>
    <row r="861">
      <c r="B861" s="138"/>
      <c r="T861" s="31"/>
    </row>
    <row r="862">
      <c r="B862" s="138"/>
      <c r="T862" s="31"/>
    </row>
    <row r="863">
      <c r="B863" s="138"/>
      <c r="T863" s="31"/>
    </row>
    <row r="864">
      <c r="B864" s="138"/>
      <c r="T864" s="31"/>
    </row>
    <row r="865">
      <c r="B865" s="138"/>
      <c r="T865" s="31"/>
    </row>
    <row r="866">
      <c r="B866" s="138"/>
      <c r="T866" s="31"/>
    </row>
    <row r="867">
      <c r="B867" s="138"/>
      <c r="T867" s="31"/>
    </row>
    <row r="868">
      <c r="B868" s="138"/>
      <c r="T868" s="31"/>
    </row>
    <row r="869">
      <c r="B869" s="138"/>
      <c r="T869" s="31"/>
    </row>
    <row r="870">
      <c r="B870" s="138"/>
      <c r="T870" s="31"/>
    </row>
    <row r="871">
      <c r="B871" s="138"/>
      <c r="T871" s="31"/>
    </row>
    <row r="872">
      <c r="B872" s="138"/>
      <c r="T872" s="31"/>
    </row>
    <row r="873">
      <c r="B873" s="138"/>
      <c r="T873" s="31"/>
    </row>
    <row r="874">
      <c r="B874" s="138"/>
      <c r="T874" s="31"/>
    </row>
    <row r="875">
      <c r="B875" s="138"/>
      <c r="T875" s="31"/>
    </row>
    <row r="876">
      <c r="B876" s="138"/>
      <c r="T876" s="31"/>
    </row>
    <row r="877">
      <c r="B877" s="138"/>
      <c r="T877" s="31"/>
    </row>
    <row r="878">
      <c r="B878" s="138"/>
      <c r="T878" s="31"/>
    </row>
    <row r="879">
      <c r="B879" s="138"/>
      <c r="T879" s="31"/>
    </row>
    <row r="880">
      <c r="B880" s="138"/>
      <c r="T880" s="31"/>
    </row>
    <row r="881">
      <c r="B881" s="138"/>
      <c r="T881" s="31"/>
    </row>
    <row r="882">
      <c r="B882" s="138"/>
      <c r="T882" s="31"/>
    </row>
    <row r="883">
      <c r="B883" s="138"/>
      <c r="T883" s="31"/>
    </row>
    <row r="884">
      <c r="B884" s="138"/>
      <c r="T884" s="31"/>
    </row>
    <row r="885">
      <c r="B885" s="138"/>
      <c r="T885" s="31"/>
    </row>
    <row r="886">
      <c r="B886" s="138"/>
      <c r="T886" s="31"/>
    </row>
    <row r="887">
      <c r="B887" s="138"/>
      <c r="T887" s="31"/>
    </row>
    <row r="888">
      <c r="B888" s="138"/>
      <c r="T888" s="31"/>
    </row>
    <row r="889">
      <c r="B889" s="138"/>
      <c r="T889" s="31"/>
    </row>
    <row r="890">
      <c r="B890" s="138"/>
      <c r="T890" s="31"/>
    </row>
    <row r="891">
      <c r="B891" s="138"/>
      <c r="T891" s="31"/>
    </row>
    <row r="892">
      <c r="B892" s="138"/>
      <c r="T892" s="31"/>
    </row>
    <row r="893">
      <c r="B893" s="138"/>
      <c r="T893" s="31"/>
    </row>
    <row r="894">
      <c r="B894" s="138"/>
      <c r="T894" s="31"/>
    </row>
    <row r="895">
      <c r="B895" s="138"/>
      <c r="T895" s="31"/>
    </row>
    <row r="896">
      <c r="B896" s="138"/>
      <c r="T896" s="31"/>
    </row>
    <row r="897">
      <c r="B897" s="138"/>
      <c r="T897" s="31"/>
    </row>
    <row r="898">
      <c r="B898" s="138"/>
      <c r="T898" s="31"/>
    </row>
    <row r="899">
      <c r="B899" s="138"/>
      <c r="T899" s="31"/>
    </row>
    <row r="900">
      <c r="B900" s="138"/>
      <c r="T900" s="31"/>
    </row>
    <row r="901">
      <c r="B901" s="138"/>
      <c r="T901" s="31"/>
    </row>
    <row r="902">
      <c r="B902" s="138"/>
      <c r="T902" s="31"/>
    </row>
    <row r="903">
      <c r="B903" s="138"/>
      <c r="T903" s="31"/>
    </row>
    <row r="904">
      <c r="B904" s="138"/>
      <c r="T904" s="31"/>
    </row>
    <row r="905">
      <c r="B905" s="138"/>
      <c r="T905" s="31"/>
    </row>
    <row r="906">
      <c r="B906" s="138"/>
      <c r="T906" s="31"/>
    </row>
    <row r="907">
      <c r="B907" s="138"/>
      <c r="T907" s="31"/>
    </row>
    <row r="908">
      <c r="B908" s="138"/>
      <c r="T908" s="31"/>
    </row>
    <row r="909">
      <c r="B909" s="138"/>
      <c r="T909" s="31"/>
    </row>
    <row r="910">
      <c r="B910" s="138"/>
      <c r="T910" s="31"/>
    </row>
    <row r="911">
      <c r="B911" s="138"/>
      <c r="T911" s="31"/>
    </row>
    <row r="912">
      <c r="B912" s="138"/>
      <c r="T912" s="31"/>
    </row>
    <row r="913">
      <c r="B913" s="138"/>
      <c r="T913" s="31"/>
    </row>
    <row r="914">
      <c r="B914" s="138"/>
      <c r="T914" s="31"/>
    </row>
    <row r="915">
      <c r="B915" s="138"/>
      <c r="T915" s="31"/>
    </row>
    <row r="916">
      <c r="B916" s="138"/>
      <c r="T916" s="31"/>
    </row>
    <row r="917">
      <c r="B917" s="138"/>
      <c r="T917" s="31"/>
    </row>
    <row r="918">
      <c r="B918" s="138"/>
      <c r="T918" s="31"/>
    </row>
    <row r="919">
      <c r="B919" s="138"/>
      <c r="T919" s="31"/>
    </row>
    <row r="920">
      <c r="B920" s="138"/>
      <c r="T920" s="31"/>
    </row>
    <row r="921">
      <c r="B921" s="138"/>
      <c r="T921" s="31"/>
    </row>
    <row r="922">
      <c r="B922" s="138"/>
      <c r="T922" s="31"/>
    </row>
    <row r="923">
      <c r="B923" s="138"/>
      <c r="T923" s="31"/>
    </row>
    <row r="924">
      <c r="B924" s="138"/>
      <c r="T924" s="31"/>
    </row>
    <row r="925">
      <c r="B925" s="138"/>
      <c r="T925" s="31"/>
    </row>
    <row r="926">
      <c r="B926" s="138"/>
      <c r="T926" s="31"/>
    </row>
    <row r="927">
      <c r="B927" s="138"/>
      <c r="T927" s="31"/>
    </row>
    <row r="928">
      <c r="B928" s="138"/>
      <c r="T928" s="31"/>
    </row>
    <row r="929">
      <c r="B929" s="138"/>
      <c r="T929" s="31"/>
    </row>
    <row r="930">
      <c r="B930" s="138"/>
      <c r="T930" s="31"/>
    </row>
    <row r="931">
      <c r="B931" s="138"/>
      <c r="T931" s="31"/>
    </row>
    <row r="932">
      <c r="B932" s="138"/>
      <c r="T932" s="31"/>
    </row>
    <row r="933">
      <c r="B933" s="138"/>
      <c r="T933" s="31"/>
    </row>
    <row r="934">
      <c r="B934" s="138"/>
      <c r="T934" s="31"/>
    </row>
    <row r="935">
      <c r="B935" s="138"/>
      <c r="T935" s="31"/>
    </row>
    <row r="936">
      <c r="B936" s="138"/>
      <c r="T936" s="31"/>
    </row>
    <row r="937">
      <c r="B937" s="138"/>
      <c r="T937" s="31"/>
    </row>
    <row r="938">
      <c r="B938" s="138"/>
      <c r="T938" s="31"/>
    </row>
    <row r="939">
      <c r="B939" s="138"/>
      <c r="T939" s="31"/>
    </row>
    <row r="940">
      <c r="B940" s="138"/>
      <c r="T940" s="31"/>
    </row>
    <row r="941">
      <c r="B941" s="138"/>
      <c r="T941" s="31"/>
    </row>
    <row r="942">
      <c r="B942" s="138"/>
      <c r="T942" s="31"/>
    </row>
    <row r="943">
      <c r="B943" s="138"/>
      <c r="T943" s="31"/>
    </row>
    <row r="944">
      <c r="B944" s="138"/>
      <c r="T944" s="31"/>
    </row>
    <row r="945">
      <c r="B945" s="138"/>
      <c r="T945" s="31"/>
    </row>
    <row r="946">
      <c r="B946" s="138"/>
      <c r="T946" s="31"/>
    </row>
    <row r="947">
      <c r="B947" s="138"/>
      <c r="T947" s="31"/>
    </row>
    <row r="948">
      <c r="B948" s="138"/>
      <c r="T948" s="31"/>
    </row>
  </sheetData>
  <mergeCells count="16">
    <mergeCell ref="H3:I3"/>
    <mergeCell ref="J3:K3"/>
    <mergeCell ref="L3:M3"/>
    <mergeCell ref="N3:O3"/>
    <mergeCell ref="P3:Q3"/>
    <mergeCell ref="R3:S3"/>
    <mergeCell ref="T3:U3"/>
    <mergeCell ref="V3:X3"/>
    <mergeCell ref="B2:G2"/>
    <mergeCell ref="H2:M2"/>
    <mergeCell ref="N2:S2"/>
    <mergeCell ref="T2:Z2"/>
    <mergeCell ref="B3:C3"/>
    <mergeCell ref="D3:E3"/>
    <mergeCell ref="F3:G3"/>
    <mergeCell ref="Y3:Z3"/>
  </mergeCells>
  <dataValidations>
    <dataValidation type="list" allowBlank="1" showErrorMessage="1" sqref="B24:Z24 B32:Z32">
      <formula1>"0%,100%"</formula1>
    </dataValidation>
  </dataValidation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33.13"/>
    <col customWidth="1" min="2" max="2" width="13.13"/>
    <col customWidth="1" min="5" max="5" width="12.63"/>
    <col customWidth="1" min="27" max="27" width="13.5"/>
  </cols>
  <sheetData>
    <row r="1" ht="30.0" customHeight="1">
      <c r="A1" s="1" t="s">
        <v>1249</v>
      </c>
      <c r="B1" s="2"/>
      <c r="C1" s="3"/>
      <c r="D1" s="3"/>
      <c r="E1" s="3"/>
      <c r="F1" s="676"/>
      <c r="G1" s="676"/>
      <c r="H1" s="676"/>
      <c r="I1" s="3"/>
      <c r="J1" s="3"/>
      <c r="K1" s="3"/>
      <c r="L1" s="3"/>
      <c r="M1" s="3"/>
      <c r="N1" s="3"/>
      <c r="O1" s="3"/>
      <c r="P1" s="4"/>
      <c r="Q1" s="4"/>
      <c r="R1" s="4"/>
      <c r="S1" s="5"/>
      <c r="T1" s="4"/>
      <c r="U1" s="4"/>
      <c r="V1" s="4"/>
      <c r="W1" s="4"/>
      <c r="X1" s="4"/>
      <c r="Y1" s="4"/>
      <c r="Z1" s="4"/>
      <c r="AA1" s="4"/>
      <c r="AB1" s="4"/>
      <c r="AC1" s="4"/>
      <c r="AD1" s="4"/>
      <c r="AE1" s="4"/>
      <c r="AF1" s="4"/>
      <c r="AG1" s="4"/>
      <c r="AH1" s="4"/>
      <c r="AI1" s="4"/>
      <c r="AJ1" s="4"/>
      <c r="AK1" s="4"/>
      <c r="AL1" s="4"/>
      <c r="AM1" s="4"/>
      <c r="AN1" s="4"/>
      <c r="AO1" s="4"/>
    </row>
    <row r="2">
      <c r="A2" s="6" t="s">
        <v>1</v>
      </c>
      <c r="B2" s="7" t="s">
        <v>2</v>
      </c>
      <c r="C2" s="8"/>
      <c r="D2" s="8"/>
      <c r="E2" s="8"/>
      <c r="F2" s="8"/>
      <c r="G2" s="9"/>
      <c r="H2" s="7" t="s">
        <v>3</v>
      </c>
      <c r="I2" s="8"/>
      <c r="J2" s="8"/>
      <c r="K2" s="8"/>
      <c r="L2" s="8"/>
      <c r="M2" s="8"/>
      <c r="N2" s="10" t="s">
        <v>4</v>
      </c>
      <c r="O2" s="8"/>
      <c r="P2" s="8"/>
      <c r="Q2" s="8"/>
      <c r="R2" s="8"/>
      <c r="S2" s="9"/>
      <c r="T2" s="11" t="s">
        <v>5</v>
      </c>
      <c r="U2" s="8"/>
      <c r="V2" s="8"/>
      <c r="W2" s="8"/>
      <c r="X2" s="8"/>
      <c r="Y2" s="8"/>
      <c r="Z2" s="9"/>
      <c r="AA2" s="723" t="s">
        <v>1192</v>
      </c>
      <c r="AB2" s="723" t="s">
        <v>1193</v>
      </c>
      <c r="AC2" s="12"/>
      <c r="AD2" s="12"/>
      <c r="AE2" s="12"/>
      <c r="AF2" s="12"/>
      <c r="AG2" s="12"/>
      <c r="AH2" s="12"/>
      <c r="AI2" s="12"/>
      <c r="AJ2" s="12"/>
      <c r="AK2" s="12"/>
      <c r="AL2" s="12"/>
      <c r="AM2" s="12"/>
      <c r="AN2" s="12"/>
      <c r="AO2" s="12"/>
    </row>
    <row r="3">
      <c r="A3" s="6" t="s">
        <v>6</v>
      </c>
      <c r="B3" s="13" t="s">
        <v>7</v>
      </c>
      <c r="C3" s="14"/>
      <c r="D3" s="15" t="s">
        <v>8</v>
      </c>
      <c r="E3" s="9"/>
      <c r="F3" s="7" t="s">
        <v>9</v>
      </c>
      <c r="G3" s="9"/>
      <c r="H3" s="677" t="s">
        <v>10</v>
      </c>
      <c r="I3" s="9"/>
      <c r="J3" s="10" t="s">
        <v>11</v>
      </c>
      <c r="K3" s="8"/>
      <c r="L3" s="16" t="s">
        <v>12</v>
      </c>
      <c r="M3" s="8"/>
      <c r="N3" s="10" t="s">
        <v>13</v>
      </c>
      <c r="O3" s="9"/>
      <c r="P3" s="15" t="s">
        <v>14</v>
      </c>
      <c r="Q3" s="9"/>
      <c r="R3" s="10" t="s">
        <v>15</v>
      </c>
      <c r="S3" s="9"/>
      <c r="T3" s="17" t="s">
        <v>16</v>
      </c>
      <c r="U3" s="9"/>
      <c r="V3" s="10" t="s">
        <v>17</v>
      </c>
      <c r="W3" s="8"/>
      <c r="X3" s="9"/>
      <c r="Y3" s="16" t="s">
        <v>18</v>
      </c>
      <c r="Z3" s="9"/>
      <c r="AA3" s="12"/>
      <c r="AB3" s="12"/>
      <c r="AC3" s="12"/>
      <c r="AD3" s="12"/>
      <c r="AE3" s="12"/>
      <c r="AF3" s="12"/>
      <c r="AG3" s="12"/>
      <c r="AH3" s="12"/>
      <c r="AI3" s="12"/>
      <c r="AJ3" s="12"/>
      <c r="AK3" s="12"/>
      <c r="AL3" s="12"/>
      <c r="AM3" s="12"/>
      <c r="AN3" s="12"/>
      <c r="AO3" s="12"/>
    </row>
    <row r="4">
      <c r="A4" s="6" t="s">
        <v>19</v>
      </c>
      <c r="B4" s="18"/>
      <c r="C4" s="18"/>
      <c r="D4" s="18"/>
      <c r="E4" s="18"/>
      <c r="F4" s="18"/>
      <c r="G4" s="18"/>
      <c r="H4" s="735" t="s">
        <v>1250</v>
      </c>
      <c r="I4" s="19" t="s">
        <v>1251</v>
      </c>
      <c r="K4" s="19"/>
      <c r="L4" s="19"/>
      <c r="M4" s="19"/>
      <c r="N4" s="19"/>
      <c r="O4" s="19"/>
      <c r="P4" s="19"/>
      <c r="Q4" s="19"/>
      <c r="R4" s="19"/>
      <c r="S4" s="19"/>
      <c r="T4" s="20"/>
      <c r="U4" s="19"/>
      <c r="V4" s="19"/>
      <c r="W4" s="19"/>
      <c r="X4" s="19"/>
      <c r="Y4" s="19"/>
      <c r="Z4" s="21"/>
      <c r="AA4" s="12"/>
      <c r="AB4" s="12"/>
      <c r="AC4" s="12"/>
      <c r="AD4" s="12"/>
      <c r="AE4" s="12"/>
      <c r="AF4" s="12"/>
      <c r="AG4" s="12"/>
      <c r="AH4" s="12"/>
      <c r="AI4" s="12"/>
      <c r="AJ4" s="12"/>
      <c r="AK4" s="12"/>
      <c r="AL4" s="12"/>
      <c r="AM4" s="12"/>
      <c r="AN4" s="12"/>
      <c r="AO4" s="12"/>
    </row>
    <row r="5">
      <c r="A5" s="22" t="s">
        <v>20</v>
      </c>
      <c r="B5" s="23" t="s">
        <v>1252</v>
      </c>
      <c r="C5" s="423" t="s">
        <v>1253</v>
      </c>
      <c r="D5" s="23" t="s">
        <v>1254</v>
      </c>
      <c r="E5" s="423" t="s">
        <v>1255</v>
      </c>
      <c r="F5" s="23" t="s">
        <v>1256</v>
      </c>
      <c r="G5" s="23" t="s">
        <v>1257</v>
      </c>
      <c r="H5" s="423" t="s">
        <v>1258</v>
      </c>
      <c r="I5" s="423" t="s">
        <v>1259</v>
      </c>
      <c r="K5" s="23" t="s">
        <v>1260</v>
      </c>
      <c r="L5" s="23" t="s">
        <v>1261</v>
      </c>
      <c r="M5" s="23" t="s">
        <v>1262</v>
      </c>
      <c r="N5" s="23" t="s">
        <v>1263</v>
      </c>
      <c r="O5" s="23" t="s">
        <v>1264</v>
      </c>
      <c r="P5" s="23" t="s">
        <v>1265</v>
      </c>
      <c r="Q5" s="23" t="s">
        <v>1266</v>
      </c>
      <c r="R5" s="23" t="s">
        <v>1267</v>
      </c>
      <c r="S5" s="23" t="s">
        <v>1268</v>
      </c>
      <c r="T5" s="23" t="s">
        <v>1269</v>
      </c>
      <c r="U5" s="25"/>
      <c r="V5" s="24"/>
      <c r="W5" s="24"/>
      <c r="X5" s="24"/>
      <c r="Y5" s="25"/>
      <c r="Z5" s="25"/>
      <c r="AA5" s="27"/>
      <c r="AB5" s="28"/>
      <c r="AC5" s="28"/>
      <c r="AD5" s="28"/>
      <c r="AE5" s="28"/>
      <c r="AF5" s="28"/>
      <c r="AG5" s="28"/>
      <c r="AH5" s="28"/>
      <c r="AI5" s="28"/>
      <c r="AJ5" s="28"/>
      <c r="AK5" s="28"/>
      <c r="AL5" s="28"/>
      <c r="AM5" s="28"/>
      <c r="AN5" s="28"/>
      <c r="AO5" s="28"/>
    </row>
    <row r="6">
      <c r="A6" s="29"/>
      <c r="B6" s="30"/>
      <c r="F6" s="138"/>
      <c r="G6" s="138"/>
      <c r="H6" s="138"/>
      <c r="T6" s="31"/>
    </row>
    <row r="7">
      <c r="A7" s="32" t="s">
        <v>21</v>
      </c>
      <c r="B7" s="33">
        <v>218.0</v>
      </c>
      <c r="C7" s="34">
        <v>298.0</v>
      </c>
      <c r="D7" s="34">
        <v>269.0</v>
      </c>
      <c r="E7" s="34">
        <v>315.0</v>
      </c>
      <c r="F7" s="33">
        <v>321.0</v>
      </c>
      <c r="G7" s="33">
        <v>326.0</v>
      </c>
      <c r="H7" s="33">
        <v>407.0</v>
      </c>
      <c r="I7" s="34">
        <v>652.0</v>
      </c>
      <c r="J7" s="34">
        <v>652.0</v>
      </c>
      <c r="K7" s="34">
        <v>375.0</v>
      </c>
      <c r="L7" s="34">
        <v>380.0</v>
      </c>
      <c r="M7" s="34">
        <v>407.0</v>
      </c>
      <c r="N7" s="34">
        <v>276.0</v>
      </c>
      <c r="O7" s="34">
        <v>319.0</v>
      </c>
      <c r="P7" s="34">
        <v>350.0</v>
      </c>
      <c r="Q7" s="34">
        <v>221.0</v>
      </c>
      <c r="R7" s="34">
        <v>343.0</v>
      </c>
      <c r="S7" s="35">
        <v>338.0</v>
      </c>
      <c r="T7" s="36">
        <v>266.0</v>
      </c>
      <c r="U7" s="34"/>
      <c r="V7" s="34"/>
      <c r="W7" s="34"/>
      <c r="X7" s="34"/>
      <c r="Y7" s="34"/>
      <c r="Z7" s="34"/>
    </row>
    <row r="8">
      <c r="A8" s="37" t="s">
        <v>22</v>
      </c>
      <c r="B8" s="38">
        <v>190.0</v>
      </c>
      <c r="C8" s="39">
        <v>265.0</v>
      </c>
      <c r="D8" s="39">
        <v>223.0</v>
      </c>
      <c r="E8" s="39">
        <v>263.0</v>
      </c>
      <c r="F8" s="38">
        <v>289.0</v>
      </c>
      <c r="G8" s="38">
        <v>292.0</v>
      </c>
      <c r="H8" s="38">
        <v>339.0</v>
      </c>
      <c r="I8" s="39">
        <v>652.0</v>
      </c>
      <c r="J8" s="39">
        <v>652.0</v>
      </c>
      <c r="K8" s="39">
        <v>310.0</v>
      </c>
      <c r="L8" s="39">
        <v>265.0</v>
      </c>
      <c r="M8" s="39">
        <v>322.0</v>
      </c>
      <c r="N8" s="39">
        <v>238.0</v>
      </c>
      <c r="O8" s="39">
        <v>313.0</v>
      </c>
      <c r="P8" s="39">
        <v>264.0</v>
      </c>
      <c r="Q8" s="39">
        <v>186.0</v>
      </c>
      <c r="R8" s="39">
        <v>300.0</v>
      </c>
      <c r="S8" s="40">
        <v>265.0</v>
      </c>
      <c r="T8" s="41">
        <v>244.0</v>
      </c>
      <c r="U8" s="39"/>
      <c r="V8" s="39"/>
      <c r="W8" s="39"/>
      <c r="X8" s="39"/>
      <c r="Y8" s="39"/>
      <c r="Z8" s="39"/>
    </row>
    <row r="9">
      <c r="A9" s="37" t="s">
        <v>23</v>
      </c>
      <c r="B9" s="736">
        <f t="shared" ref="B9:K9" si="1">B7-B8</f>
        <v>28</v>
      </c>
      <c r="C9" s="736">
        <f t="shared" si="1"/>
        <v>33</v>
      </c>
      <c r="D9" s="736">
        <f t="shared" si="1"/>
        <v>46</v>
      </c>
      <c r="E9" s="736">
        <f t="shared" si="1"/>
        <v>52</v>
      </c>
      <c r="F9" s="737">
        <f t="shared" si="1"/>
        <v>32</v>
      </c>
      <c r="G9" s="737">
        <f t="shared" si="1"/>
        <v>34</v>
      </c>
      <c r="H9" s="737">
        <f t="shared" si="1"/>
        <v>68</v>
      </c>
      <c r="I9" s="737">
        <f t="shared" si="1"/>
        <v>0</v>
      </c>
      <c r="J9" s="737">
        <f t="shared" si="1"/>
        <v>0</v>
      </c>
      <c r="K9" s="737">
        <f t="shared" si="1"/>
        <v>65</v>
      </c>
      <c r="L9" s="39">
        <v>115.0</v>
      </c>
      <c r="M9" s="39">
        <v>79.0</v>
      </c>
      <c r="N9" s="39">
        <v>11.0</v>
      </c>
      <c r="O9" s="39">
        <v>6.0</v>
      </c>
      <c r="P9" s="39">
        <v>85.0</v>
      </c>
      <c r="Q9" s="39">
        <v>29.0</v>
      </c>
      <c r="R9" s="39">
        <v>40.0</v>
      </c>
      <c r="S9" s="40">
        <v>73.0</v>
      </c>
      <c r="T9" s="41">
        <v>45.0</v>
      </c>
      <c r="U9" s="41"/>
      <c r="V9" s="41"/>
      <c r="W9" s="41"/>
      <c r="X9" s="41"/>
      <c r="Y9" s="41"/>
      <c r="Z9" s="41"/>
    </row>
    <row r="10">
      <c r="A10" s="42" t="s">
        <v>24</v>
      </c>
      <c r="B10" s="738">
        <f t="shared" ref="B10:M10" si="2">B9/B8</f>
        <v>0.1473684211</v>
      </c>
      <c r="C10" s="738">
        <f t="shared" si="2"/>
        <v>0.1245283019</v>
      </c>
      <c r="D10" s="738">
        <f t="shared" si="2"/>
        <v>0.2062780269</v>
      </c>
      <c r="E10" s="738">
        <f t="shared" si="2"/>
        <v>0.1977186312</v>
      </c>
      <c r="F10" s="739">
        <f t="shared" si="2"/>
        <v>0.1107266436</v>
      </c>
      <c r="G10" s="739">
        <f t="shared" si="2"/>
        <v>0.1164383562</v>
      </c>
      <c r="H10" s="739">
        <f t="shared" si="2"/>
        <v>0.2005899705</v>
      </c>
      <c r="I10" s="739">
        <f t="shared" si="2"/>
        <v>0</v>
      </c>
      <c r="J10" s="739">
        <f t="shared" si="2"/>
        <v>0</v>
      </c>
      <c r="K10" s="739">
        <f t="shared" si="2"/>
        <v>0.2096774194</v>
      </c>
      <c r="L10" s="739">
        <f t="shared" si="2"/>
        <v>0.4339622642</v>
      </c>
      <c r="M10" s="43">
        <f t="shared" si="2"/>
        <v>0.2453416149</v>
      </c>
      <c r="N10" s="43">
        <v>0.05</v>
      </c>
      <c r="O10" s="43">
        <v>0.02</v>
      </c>
      <c r="P10" s="43">
        <v>0.24</v>
      </c>
      <c r="Q10" s="43">
        <v>0.13</v>
      </c>
      <c r="R10" s="43">
        <f>R9/R8</f>
        <v>0.1333333333</v>
      </c>
      <c r="S10" s="44">
        <v>0.21</v>
      </c>
      <c r="T10" s="45">
        <v>0.17</v>
      </c>
      <c r="U10" s="45"/>
      <c r="V10" s="45"/>
      <c r="W10" s="45"/>
      <c r="X10" s="45"/>
      <c r="Y10" s="45"/>
      <c r="Z10" s="45"/>
    </row>
    <row r="11">
      <c r="A11" s="40"/>
      <c r="B11" s="46"/>
      <c r="C11" s="40"/>
      <c r="D11" s="40"/>
      <c r="E11" s="40"/>
      <c r="F11" s="46"/>
      <c r="G11" s="46"/>
      <c r="H11" s="46"/>
      <c r="I11" s="40"/>
      <c r="J11" s="40"/>
      <c r="K11" s="40"/>
      <c r="L11" s="40"/>
      <c r="M11" s="40"/>
      <c r="N11" s="40"/>
      <c r="O11" s="40"/>
      <c r="P11" s="40"/>
      <c r="Q11" s="40"/>
      <c r="R11" s="40"/>
      <c r="S11" s="40"/>
      <c r="T11" s="47"/>
      <c r="U11" s="40"/>
      <c r="V11" s="40"/>
      <c r="W11" s="40"/>
      <c r="X11" s="40"/>
      <c r="Y11" s="40"/>
      <c r="Z11" s="40"/>
    </row>
    <row r="12">
      <c r="A12" s="48" t="s">
        <v>25</v>
      </c>
      <c r="B12" s="49">
        <v>0.0</v>
      </c>
      <c r="C12" s="50">
        <v>34.0</v>
      </c>
      <c r="D12" s="50">
        <v>53.0</v>
      </c>
      <c r="E12" s="50">
        <v>33.0</v>
      </c>
      <c r="F12" s="49">
        <v>46.0</v>
      </c>
      <c r="G12" s="49">
        <v>55.0</v>
      </c>
      <c r="H12" s="49">
        <v>62.0</v>
      </c>
      <c r="I12" s="50">
        <v>112.0</v>
      </c>
      <c r="J12" s="50">
        <v>112.0</v>
      </c>
      <c r="K12" s="50">
        <v>50.0</v>
      </c>
      <c r="L12" s="50">
        <v>87.0</v>
      </c>
      <c r="M12" s="50">
        <v>117.0</v>
      </c>
      <c r="N12" s="50">
        <v>58.0</v>
      </c>
      <c r="O12" s="50">
        <v>79.0</v>
      </c>
      <c r="P12" s="50">
        <v>60.0</v>
      </c>
      <c r="Q12" s="50">
        <v>66.0</v>
      </c>
      <c r="R12" s="50">
        <v>74.0</v>
      </c>
      <c r="S12" s="51">
        <v>98.0</v>
      </c>
      <c r="T12" s="52">
        <v>93.0</v>
      </c>
      <c r="U12" s="50"/>
      <c r="V12" s="50"/>
      <c r="W12" s="50"/>
      <c r="X12" s="50"/>
      <c r="Y12" s="50"/>
      <c r="Z12" s="50"/>
    </row>
    <row r="13">
      <c r="A13" s="53" t="s">
        <v>26</v>
      </c>
      <c r="B13" s="54"/>
      <c r="C13" s="55">
        <v>21.0</v>
      </c>
      <c r="D13" s="55">
        <v>53.0</v>
      </c>
      <c r="E13" s="55">
        <v>11.0</v>
      </c>
      <c r="F13" s="54">
        <v>35.0</v>
      </c>
      <c r="G13" s="54">
        <f>81-26</f>
        <v>55</v>
      </c>
      <c r="H13" s="54">
        <v>39.0</v>
      </c>
      <c r="I13" s="55">
        <v>146.0</v>
      </c>
      <c r="J13" s="55">
        <v>146.0</v>
      </c>
      <c r="K13" s="55">
        <v>76.0</v>
      </c>
      <c r="L13" s="55">
        <v>54.0</v>
      </c>
      <c r="M13" s="55">
        <v>78.0</v>
      </c>
      <c r="N13" s="55">
        <v>58.0</v>
      </c>
      <c r="O13" s="55">
        <v>92.0</v>
      </c>
      <c r="P13" s="55">
        <v>54.0</v>
      </c>
      <c r="Q13" s="55">
        <v>76.0</v>
      </c>
      <c r="R13" s="55">
        <v>42.0</v>
      </c>
      <c r="S13" s="56">
        <v>106.0</v>
      </c>
      <c r="T13" s="57">
        <v>77.0</v>
      </c>
      <c r="U13" s="55"/>
      <c r="V13" s="55"/>
      <c r="W13" s="55"/>
      <c r="X13" s="55"/>
      <c r="Y13" s="55"/>
      <c r="Z13" s="55"/>
    </row>
    <row r="14">
      <c r="A14" s="58" t="s">
        <v>27</v>
      </c>
      <c r="B14" s="59"/>
      <c r="C14" s="60">
        <v>13.0</v>
      </c>
      <c r="D14" s="60">
        <v>0.0</v>
      </c>
      <c r="E14" s="60">
        <f t="shared" ref="E14:F14" si="3">E12-E13</f>
        <v>22</v>
      </c>
      <c r="F14" s="59">
        <f t="shared" si="3"/>
        <v>11</v>
      </c>
      <c r="G14" s="59">
        <v>21.0</v>
      </c>
      <c r="H14" s="59">
        <v>28.0</v>
      </c>
      <c r="I14" s="60"/>
      <c r="J14" s="60"/>
      <c r="K14" s="60">
        <v>8.0</v>
      </c>
      <c r="L14" s="60">
        <v>41.0</v>
      </c>
      <c r="M14" s="60">
        <v>60.0</v>
      </c>
      <c r="N14" s="60">
        <v>5.0</v>
      </c>
      <c r="O14" s="60">
        <v>6.0</v>
      </c>
      <c r="P14" s="60">
        <v>32.0</v>
      </c>
      <c r="Q14" s="60">
        <v>0.0</v>
      </c>
      <c r="R14" s="60">
        <v>34.0</v>
      </c>
      <c r="S14" s="61">
        <v>68.0</v>
      </c>
      <c r="T14" s="62">
        <v>16.0</v>
      </c>
      <c r="U14" s="60"/>
      <c r="V14" s="60"/>
      <c r="W14" s="60"/>
      <c r="X14" s="60"/>
      <c r="Y14" s="60"/>
      <c r="Z14" s="60"/>
    </row>
    <row r="15">
      <c r="A15" s="56"/>
      <c r="B15" s="63"/>
      <c r="C15" s="56"/>
      <c r="D15" s="56"/>
      <c r="E15" s="56"/>
      <c r="F15" s="63"/>
      <c r="G15" s="63"/>
      <c r="H15" s="63"/>
      <c r="I15" s="56"/>
      <c r="J15" s="56"/>
      <c r="K15" s="56"/>
      <c r="L15" s="56"/>
      <c r="M15" s="56"/>
      <c r="N15" s="56"/>
      <c r="O15" s="56"/>
      <c r="P15" s="56"/>
      <c r="Q15" s="56"/>
      <c r="R15" s="56"/>
      <c r="S15" s="56"/>
      <c r="T15" s="64"/>
      <c r="U15" s="56"/>
      <c r="V15" s="56"/>
      <c r="W15" s="56"/>
      <c r="X15" s="56"/>
      <c r="Y15" s="56"/>
      <c r="Z15" s="56"/>
    </row>
    <row r="16">
      <c r="A16" s="65" t="s">
        <v>28</v>
      </c>
      <c r="B16" s="66"/>
      <c r="C16" s="65"/>
      <c r="D16" s="65"/>
      <c r="E16" s="65"/>
      <c r="F16" s="66"/>
      <c r="G16" s="66"/>
      <c r="H16" s="66"/>
      <c r="I16" s="65"/>
      <c r="J16" s="65"/>
      <c r="K16" s="65"/>
      <c r="L16" s="65"/>
      <c r="M16" s="65"/>
      <c r="N16" s="65"/>
      <c r="O16" s="65"/>
      <c r="P16" s="65"/>
      <c r="Q16" s="65"/>
      <c r="R16" s="65"/>
      <c r="S16" s="67"/>
      <c r="T16" s="68"/>
      <c r="U16" s="65"/>
      <c r="V16" s="65"/>
      <c r="W16" s="65"/>
      <c r="X16" s="65"/>
      <c r="Y16" s="65"/>
      <c r="Z16" s="65"/>
    </row>
    <row r="17">
      <c r="A17" s="65" t="s">
        <v>29</v>
      </c>
      <c r="B17" s="66"/>
      <c r="C17" s="65"/>
      <c r="D17" s="65"/>
      <c r="E17" s="65"/>
      <c r="F17" s="66"/>
      <c r="G17" s="66"/>
      <c r="H17" s="66"/>
      <c r="I17" s="65"/>
      <c r="J17" s="65"/>
      <c r="K17" s="65"/>
      <c r="L17" s="65"/>
      <c r="M17" s="65"/>
      <c r="N17" s="65"/>
      <c r="O17" s="65"/>
      <c r="P17" s="65"/>
      <c r="Q17" s="65"/>
      <c r="R17" s="65"/>
      <c r="S17" s="67"/>
      <c r="T17" s="68"/>
      <c r="U17" s="65"/>
      <c r="V17" s="65"/>
      <c r="W17" s="65"/>
      <c r="X17" s="65"/>
      <c r="Y17" s="65"/>
      <c r="Z17" s="65"/>
    </row>
    <row r="18">
      <c r="A18" s="69" t="s">
        <v>30</v>
      </c>
      <c r="B18" s="265">
        <f>SUM(B38:B50)</f>
        <v>97</v>
      </c>
      <c r="C18" s="69">
        <v>158.0</v>
      </c>
      <c r="D18" s="69">
        <v>174.0</v>
      </c>
      <c r="E18" s="69">
        <v>191.0</v>
      </c>
      <c r="F18" s="70">
        <v>181.0</v>
      </c>
      <c r="G18" s="70">
        <v>214.0</v>
      </c>
      <c r="H18" s="70">
        <v>295.0</v>
      </c>
      <c r="I18" s="69">
        <v>436.0</v>
      </c>
      <c r="J18" s="69">
        <v>436.0</v>
      </c>
      <c r="K18" s="69">
        <v>210.0</v>
      </c>
      <c r="L18" s="69">
        <v>171.0</v>
      </c>
      <c r="M18" s="69">
        <v>267.0</v>
      </c>
      <c r="N18" s="69">
        <v>157.0</v>
      </c>
      <c r="O18" s="69">
        <v>136.0</v>
      </c>
      <c r="P18" s="69">
        <v>175.0</v>
      </c>
      <c r="Q18" s="69">
        <v>146.0</v>
      </c>
      <c r="R18" s="69">
        <v>195.0</v>
      </c>
      <c r="S18" s="69">
        <v>179.0</v>
      </c>
      <c r="T18" s="71">
        <v>185.0</v>
      </c>
      <c r="U18" s="69"/>
      <c r="V18" s="69"/>
      <c r="W18" s="69"/>
      <c r="X18" s="69"/>
      <c r="Y18" s="69"/>
      <c r="Z18" s="72"/>
      <c r="AA18" s="73"/>
      <c r="AB18" s="73"/>
      <c r="AC18" s="73"/>
      <c r="AD18" s="73"/>
      <c r="AE18" s="73"/>
      <c r="AF18" s="73"/>
      <c r="AG18" s="73"/>
      <c r="AH18" s="73"/>
      <c r="AI18" s="73"/>
      <c r="AJ18" s="73"/>
      <c r="AK18" s="73"/>
      <c r="AL18" s="73"/>
      <c r="AM18" s="73"/>
      <c r="AN18" s="73"/>
      <c r="AO18" s="73"/>
    </row>
    <row r="19">
      <c r="A19" s="74" t="s">
        <v>31</v>
      </c>
      <c r="B19" s="453">
        <f>SUM(B38:B52)</f>
        <v>107</v>
      </c>
      <c r="C19" s="74">
        <v>177.0</v>
      </c>
      <c r="D19" s="74">
        <v>189.0</v>
      </c>
      <c r="E19" s="74">
        <v>202.0</v>
      </c>
      <c r="F19" s="75">
        <v>228.0</v>
      </c>
      <c r="G19" s="75">
        <v>248.0</v>
      </c>
      <c r="H19" s="75">
        <v>311.0</v>
      </c>
      <c r="I19" s="74">
        <v>461.0</v>
      </c>
      <c r="J19" s="74">
        <v>461.0</v>
      </c>
      <c r="K19" s="74">
        <v>222.0</v>
      </c>
      <c r="L19" s="74">
        <v>187.0</v>
      </c>
      <c r="M19" s="74">
        <v>270.0</v>
      </c>
      <c r="N19" s="74">
        <v>166.0</v>
      </c>
      <c r="O19" s="74">
        <v>137.0</v>
      </c>
      <c r="P19" s="69">
        <v>189.0</v>
      </c>
      <c r="Q19" s="74">
        <v>151.0</v>
      </c>
      <c r="R19" s="74">
        <v>198.0</v>
      </c>
      <c r="S19" s="74">
        <v>179.0</v>
      </c>
      <c r="T19" s="76">
        <v>193.0</v>
      </c>
      <c r="U19" s="74"/>
      <c r="V19" s="74"/>
      <c r="W19" s="74"/>
      <c r="X19" s="74"/>
      <c r="Y19" s="74"/>
      <c r="Z19" s="77"/>
      <c r="AA19" s="78"/>
      <c r="AB19" s="78"/>
      <c r="AC19" s="78"/>
      <c r="AD19" s="78"/>
      <c r="AE19" s="78"/>
      <c r="AF19" s="78"/>
      <c r="AG19" s="78"/>
      <c r="AH19" s="78"/>
      <c r="AI19" s="78"/>
      <c r="AJ19" s="78"/>
      <c r="AK19" s="78"/>
      <c r="AL19" s="78"/>
      <c r="AM19" s="78"/>
      <c r="AN19" s="78"/>
      <c r="AO19" s="78"/>
    </row>
    <row r="20">
      <c r="A20" s="69" t="s">
        <v>32</v>
      </c>
      <c r="B20" s="70">
        <v>46.0</v>
      </c>
      <c r="C20" s="69">
        <v>76.0</v>
      </c>
      <c r="D20" s="69">
        <v>93.0</v>
      </c>
      <c r="E20" s="69">
        <v>141.0</v>
      </c>
      <c r="F20" s="70">
        <v>136.0</v>
      </c>
      <c r="G20" s="70">
        <v>104.0</v>
      </c>
      <c r="H20" s="70">
        <v>164.0</v>
      </c>
      <c r="I20" s="69">
        <v>396.0</v>
      </c>
      <c r="J20" s="69">
        <v>396.0</v>
      </c>
      <c r="K20" s="69">
        <v>147.0</v>
      </c>
      <c r="L20" s="69">
        <v>89.0</v>
      </c>
      <c r="M20" s="69">
        <v>239.0</v>
      </c>
      <c r="N20" s="69">
        <v>120.0</v>
      </c>
      <c r="O20" s="69">
        <v>103.0</v>
      </c>
      <c r="P20" s="69">
        <v>131.0</v>
      </c>
      <c r="Q20" s="69">
        <v>140.0</v>
      </c>
      <c r="R20" s="69">
        <v>129.0</v>
      </c>
      <c r="S20" s="69">
        <v>125.0</v>
      </c>
      <c r="T20" s="71">
        <v>129.0</v>
      </c>
      <c r="U20" s="69"/>
      <c r="V20" s="69"/>
      <c r="W20" s="69"/>
      <c r="X20" s="69"/>
      <c r="Y20" s="69"/>
      <c r="Z20" s="72"/>
      <c r="AA20" s="73"/>
      <c r="AB20" s="73"/>
      <c r="AC20" s="73"/>
      <c r="AD20" s="73"/>
      <c r="AE20" s="73"/>
      <c r="AF20" s="73"/>
      <c r="AG20" s="73"/>
      <c r="AH20" s="73"/>
      <c r="AI20" s="73"/>
      <c r="AJ20" s="73"/>
      <c r="AK20" s="73"/>
      <c r="AL20" s="73"/>
      <c r="AM20" s="73"/>
      <c r="AN20" s="73"/>
      <c r="AO20" s="73"/>
    </row>
    <row r="21">
      <c r="A21" s="79" t="s">
        <v>33</v>
      </c>
      <c r="B21" s="740">
        <f>B8-B19</f>
        <v>83</v>
      </c>
      <c r="C21" s="80">
        <v>131.0</v>
      </c>
      <c r="D21" s="80">
        <v>86.0</v>
      </c>
      <c r="E21" s="80">
        <v>114.0</v>
      </c>
      <c r="F21" s="741">
        <f>F8-F19</f>
        <v>61</v>
      </c>
      <c r="G21" s="80">
        <v>44.0</v>
      </c>
      <c r="H21" s="80">
        <v>96.0</v>
      </c>
      <c r="I21" s="79">
        <v>147.0</v>
      </c>
      <c r="J21" s="79">
        <v>147.0</v>
      </c>
      <c r="K21" s="79">
        <v>153.0</v>
      </c>
      <c r="L21" s="79">
        <v>211.0</v>
      </c>
      <c r="M21" s="79">
        <v>137.0</v>
      </c>
      <c r="N21" s="79">
        <v>95.0</v>
      </c>
      <c r="O21" s="79">
        <v>138.0</v>
      </c>
      <c r="P21" s="742">
        <v>161.0</v>
      </c>
      <c r="Q21" s="79">
        <v>70.0</v>
      </c>
      <c r="R21" s="79">
        <v>145.0</v>
      </c>
      <c r="S21" s="81">
        <v>164.0</v>
      </c>
      <c r="T21" s="79">
        <v>99.0</v>
      </c>
      <c r="U21" s="79"/>
      <c r="V21" s="79"/>
      <c r="W21" s="79"/>
      <c r="X21" s="79"/>
      <c r="Y21" s="79"/>
      <c r="Z21" s="79"/>
    </row>
    <row r="22">
      <c r="A22" s="82" t="s">
        <v>34</v>
      </c>
      <c r="B22" s="83">
        <v>41.0</v>
      </c>
      <c r="C22" s="83">
        <v>246.0</v>
      </c>
      <c r="D22" s="85">
        <v>213.0</v>
      </c>
      <c r="E22" s="85">
        <v>217.0</v>
      </c>
      <c r="F22" s="691">
        <v>261.0</v>
      </c>
      <c r="G22" s="691">
        <f>252-24</f>
        <v>228</v>
      </c>
      <c r="H22" s="691">
        <v>298.0</v>
      </c>
      <c r="I22" s="85">
        <v>583.0</v>
      </c>
      <c r="J22" s="85">
        <v>583.0</v>
      </c>
      <c r="K22" s="85">
        <v>290.0</v>
      </c>
      <c r="L22" s="85">
        <v>235.0</v>
      </c>
      <c r="M22" s="85">
        <v>306.0</v>
      </c>
      <c r="N22" s="85">
        <v>238.0</v>
      </c>
      <c r="O22" s="85">
        <v>305.0</v>
      </c>
      <c r="P22" s="743">
        <v>255.0</v>
      </c>
      <c r="Q22" s="85">
        <v>181.0</v>
      </c>
      <c r="R22" s="85">
        <v>290.0</v>
      </c>
      <c r="S22" s="85">
        <v>265.0</v>
      </c>
      <c r="T22" s="86">
        <v>236.0</v>
      </c>
      <c r="U22" s="85"/>
      <c r="V22" s="85"/>
      <c r="W22" s="85"/>
      <c r="X22" s="85"/>
      <c r="Y22" s="85"/>
      <c r="Z22" s="87"/>
      <c r="AA22" s="87"/>
      <c r="AB22" s="88"/>
      <c r="AC22" s="88"/>
      <c r="AD22" s="88"/>
      <c r="AE22" s="88"/>
      <c r="AF22" s="88"/>
      <c r="AG22" s="88"/>
      <c r="AH22" s="88"/>
      <c r="AI22" s="88"/>
      <c r="AJ22" s="88"/>
      <c r="AK22" s="88"/>
      <c r="AL22" s="89"/>
      <c r="AM22" s="88"/>
      <c r="AN22" s="88"/>
      <c r="AO22" s="88"/>
    </row>
    <row r="23">
      <c r="A23" s="90" t="s">
        <v>35</v>
      </c>
      <c r="B23" s="744" t="s">
        <v>1270</v>
      </c>
      <c r="C23" s="745" t="s">
        <v>1271</v>
      </c>
      <c r="D23" s="745" t="s">
        <v>1271</v>
      </c>
      <c r="E23" s="746" t="s">
        <v>1271</v>
      </c>
      <c r="F23" s="397" t="s">
        <v>1272</v>
      </c>
      <c r="G23" s="397" t="s">
        <v>1273</v>
      </c>
      <c r="H23" s="397" t="s">
        <v>1274</v>
      </c>
      <c r="I23" s="396" t="s">
        <v>1275</v>
      </c>
      <c r="J23" s="396" t="s">
        <v>1275</v>
      </c>
      <c r="K23" s="397" t="s">
        <v>1276</v>
      </c>
      <c r="L23" s="396" t="s">
        <v>1277</v>
      </c>
      <c r="M23" s="664" t="s">
        <v>1278</v>
      </c>
      <c r="N23" s="396" t="s">
        <v>1279</v>
      </c>
      <c r="O23" s="747" t="s">
        <v>1279</v>
      </c>
      <c r="P23" s="396" t="s">
        <v>1280</v>
      </c>
      <c r="Q23" s="748" t="s">
        <v>1281</v>
      </c>
      <c r="R23" s="396" t="s">
        <v>1282</v>
      </c>
      <c r="S23" s="664" t="s">
        <v>1282</v>
      </c>
      <c r="T23" s="396" t="s">
        <v>1283</v>
      </c>
      <c r="U23" s="91"/>
      <c r="V23" s="91"/>
      <c r="W23" s="91"/>
      <c r="X23" s="91"/>
      <c r="Y23" s="91"/>
      <c r="Z23" s="91"/>
      <c r="AA23" s="94"/>
      <c r="AB23" s="95"/>
      <c r="AC23" s="95"/>
      <c r="AD23" s="95"/>
      <c r="AE23" s="95"/>
      <c r="AF23" s="95"/>
      <c r="AG23" s="95"/>
      <c r="AH23" s="95"/>
      <c r="AI23" s="95"/>
      <c r="AJ23" s="95"/>
      <c r="AK23" s="95"/>
      <c r="AL23" s="95"/>
      <c r="AM23" s="95"/>
      <c r="AN23" s="95"/>
      <c r="AO23" s="95"/>
    </row>
    <row r="24">
      <c r="A24" s="96" t="s">
        <v>36</v>
      </c>
      <c r="B24" s="97">
        <v>0.0</v>
      </c>
      <c r="C24" s="98">
        <v>0.0</v>
      </c>
      <c r="D24" s="98">
        <v>0.0</v>
      </c>
      <c r="E24" s="97">
        <v>1.0</v>
      </c>
      <c r="F24" s="97">
        <v>1.0</v>
      </c>
      <c r="G24" s="97">
        <v>1.0</v>
      </c>
      <c r="H24" s="97">
        <v>1.0</v>
      </c>
      <c r="I24" s="98">
        <v>0.0</v>
      </c>
      <c r="J24" s="98">
        <v>0.0</v>
      </c>
      <c r="K24" s="97">
        <v>1.0</v>
      </c>
      <c r="L24" s="98">
        <v>0.0</v>
      </c>
      <c r="M24" s="97">
        <v>1.0</v>
      </c>
      <c r="N24" s="98">
        <v>0.0</v>
      </c>
      <c r="O24" s="97">
        <v>1.0</v>
      </c>
      <c r="P24" s="98">
        <v>0.0</v>
      </c>
      <c r="Q24" s="749">
        <v>0.0</v>
      </c>
      <c r="R24" s="98">
        <v>0.0</v>
      </c>
      <c r="S24" s="97">
        <v>1.0</v>
      </c>
      <c r="T24" s="98">
        <v>0.0</v>
      </c>
      <c r="U24" s="98">
        <v>0.0</v>
      </c>
      <c r="V24" s="98">
        <v>0.0</v>
      </c>
      <c r="W24" s="98">
        <v>0.0</v>
      </c>
      <c r="X24" s="98">
        <v>0.0</v>
      </c>
      <c r="Y24" s="98">
        <v>0.0</v>
      </c>
      <c r="Z24" s="98">
        <v>0.0</v>
      </c>
      <c r="AA24" s="99"/>
      <c r="AB24" s="100"/>
      <c r="AC24" s="100"/>
      <c r="AD24" s="100"/>
      <c r="AE24" s="100"/>
      <c r="AF24" s="100"/>
      <c r="AG24" s="100"/>
      <c r="AH24" s="100"/>
      <c r="AI24" s="100"/>
      <c r="AJ24" s="100"/>
      <c r="AK24" s="100"/>
      <c r="AL24" s="100"/>
      <c r="AM24" s="100"/>
      <c r="AN24" s="100"/>
      <c r="AO24" s="100"/>
    </row>
    <row r="25">
      <c r="A25" s="101" t="s">
        <v>37</v>
      </c>
      <c r="B25" s="102">
        <f t="shared" ref="B25:T25" si="4">IFERROR(B19/B8, 0)</f>
        <v>0.5631578947</v>
      </c>
      <c r="C25" s="102">
        <f t="shared" si="4"/>
        <v>0.6679245283</v>
      </c>
      <c r="D25" s="102">
        <f t="shared" si="4"/>
        <v>0.8475336323</v>
      </c>
      <c r="E25" s="102">
        <f t="shared" si="4"/>
        <v>0.7680608365</v>
      </c>
      <c r="F25" s="102">
        <f t="shared" si="4"/>
        <v>0.7889273356</v>
      </c>
      <c r="G25" s="102">
        <f t="shared" si="4"/>
        <v>0.8493150685</v>
      </c>
      <c r="H25" s="102">
        <f t="shared" si="4"/>
        <v>0.9174041298</v>
      </c>
      <c r="I25" s="102">
        <f t="shared" si="4"/>
        <v>0.7070552147</v>
      </c>
      <c r="J25" s="102">
        <f t="shared" si="4"/>
        <v>0.7070552147</v>
      </c>
      <c r="K25" s="102">
        <f t="shared" si="4"/>
        <v>0.7161290323</v>
      </c>
      <c r="L25" s="102">
        <f t="shared" si="4"/>
        <v>0.7056603774</v>
      </c>
      <c r="M25" s="103">
        <f t="shared" si="4"/>
        <v>0.8385093168</v>
      </c>
      <c r="N25" s="103">
        <f t="shared" si="4"/>
        <v>0.6974789916</v>
      </c>
      <c r="O25" s="103">
        <f t="shared" si="4"/>
        <v>0.4376996805</v>
      </c>
      <c r="P25" s="103">
        <f t="shared" si="4"/>
        <v>0.7159090909</v>
      </c>
      <c r="Q25" s="103">
        <f t="shared" si="4"/>
        <v>0.811827957</v>
      </c>
      <c r="R25" s="103">
        <f t="shared" si="4"/>
        <v>0.66</v>
      </c>
      <c r="S25" s="103">
        <f t="shared" si="4"/>
        <v>0.6754716981</v>
      </c>
      <c r="T25" s="103">
        <f t="shared" si="4"/>
        <v>0.7909836066</v>
      </c>
      <c r="U25" s="103"/>
      <c r="V25" s="103"/>
      <c r="W25" s="103"/>
      <c r="X25" s="103"/>
      <c r="Y25" s="103"/>
      <c r="Z25" s="103"/>
    </row>
    <row r="26">
      <c r="A26" s="105" t="s">
        <v>38</v>
      </c>
      <c r="B26" s="106">
        <f t="shared" ref="B26:T26" si="5">IFERROR(B12/B18, 0)</f>
        <v>0</v>
      </c>
      <c r="C26" s="106">
        <f t="shared" si="5"/>
        <v>0.2151898734</v>
      </c>
      <c r="D26" s="106">
        <f t="shared" si="5"/>
        <v>0.3045977011</v>
      </c>
      <c r="E26" s="106">
        <f t="shared" si="5"/>
        <v>0.1727748691</v>
      </c>
      <c r="F26" s="106">
        <f t="shared" si="5"/>
        <v>0.2541436464</v>
      </c>
      <c r="G26" s="106">
        <f t="shared" si="5"/>
        <v>0.2570093458</v>
      </c>
      <c r="H26" s="106">
        <f t="shared" si="5"/>
        <v>0.2101694915</v>
      </c>
      <c r="I26" s="106">
        <f t="shared" si="5"/>
        <v>0.2568807339</v>
      </c>
      <c r="J26" s="106">
        <f t="shared" si="5"/>
        <v>0.2568807339</v>
      </c>
      <c r="K26" s="106">
        <f t="shared" si="5"/>
        <v>0.2380952381</v>
      </c>
      <c r="L26" s="106">
        <f t="shared" si="5"/>
        <v>0.5087719298</v>
      </c>
      <c r="M26" s="107">
        <f t="shared" si="5"/>
        <v>0.4382022472</v>
      </c>
      <c r="N26" s="107">
        <f t="shared" si="5"/>
        <v>0.3694267516</v>
      </c>
      <c r="O26" s="107">
        <f t="shared" si="5"/>
        <v>0.5808823529</v>
      </c>
      <c r="P26" s="107">
        <f t="shared" si="5"/>
        <v>0.3428571429</v>
      </c>
      <c r="Q26" s="107">
        <f t="shared" si="5"/>
        <v>0.4520547945</v>
      </c>
      <c r="R26" s="107">
        <f t="shared" si="5"/>
        <v>0.3794871795</v>
      </c>
      <c r="S26" s="107">
        <f t="shared" si="5"/>
        <v>0.5474860335</v>
      </c>
      <c r="T26" s="107">
        <f t="shared" si="5"/>
        <v>0.5027027027</v>
      </c>
      <c r="U26" s="107"/>
      <c r="V26" s="107"/>
      <c r="W26" s="107"/>
      <c r="X26" s="107"/>
      <c r="Y26" s="107"/>
      <c r="Z26" s="107"/>
    </row>
    <row r="27">
      <c r="A27" s="109" t="s">
        <v>39</v>
      </c>
      <c r="B27" s="110">
        <f t="shared" ref="B27:T27" si="6">IFERROR(B20/B18, 0)</f>
        <v>0.4742268041</v>
      </c>
      <c r="C27" s="110">
        <f t="shared" si="6"/>
        <v>0.4810126582</v>
      </c>
      <c r="D27" s="110">
        <f t="shared" si="6"/>
        <v>0.5344827586</v>
      </c>
      <c r="E27" s="110">
        <f t="shared" si="6"/>
        <v>0.7382198953</v>
      </c>
      <c r="F27" s="110">
        <f t="shared" si="6"/>
        <v>0.7513812155</v>
      </c>
      <c r="G27" s="110">
        <f t="shared" si="6"/>
        <v>0.4859813084</v>
      </c>
      <c r="H27" s="110">
        <f t="shared" si="6"/>
        <v>0.5559322034</v>
      </c>
      <c r="I27" s="110">
        <f t="shared" si="6"/>
        <v>0.9082568807</v>
      </c>
      <c r="J27" s="110">
        <f t="shared" si="6"/>
        <v>0.9082568807</v>
      </c>
      <c r="K27" s="110">
        <f t="shared" si="6"/>
        <v>0.7</v>
      </c>
      <c r="L27" s="110">
        <f t="shared" si="6"/>
        <v>0.5204678363</v>
      </c>
      <c r="M27" s="110">
        <f t="shared" si="6"/>
        <v>0.8951310861</v>
      </c>
      <c r="N27" s="110">
        <f t="shared" si="6"/>
        <v>0.7643312102</v>
      </c>
      <c r="O27" s="110">
        <f t="shared" si="6"/>
        <v>0.7573529412</v>
      </c>
      <c r="P27" s="110">
        <f t="shared" si="6"/>
        <v>0.7485714286</v>
      </c>
      <c r="Q27" s="110">
        <f t="shared" si="6"/>
        <v>0.9589041096</v>
      </c>
      <c r="R27" s="110">
        <f t="shared" si="6"/>
        <v>0.6615384615</v>
      </c>
      <c r="S27" s="110">
        <f t="shared" si="6"/>
        <v>0.6983240223</v>
      </c>
      <c r="T27" s="110">
        <f t="shared" si="6"/>
        <v>0.6972972973</v>
      </c>
      <c r="U27" s="110"/>
      <c r="V27" s="110"/>
      <c r="W27" s="110"/>
      <c r="X27" s="110"/>
      <c r="Y27" s="110"/>
      <c r="Z27" s="110"/>
      <c r="AA27" s="112"/>
      <c r="AB27" s="113"/>
      <c r="AC27" s="113"/>
      <c r="AD27" s="113"/>
      <c r="AE27" s="113"/>
      <c r="AF27" s="113"/>
      <c r="AG27" s="113"/>
      <c r="AH27" s="113"/>
      <c r="AI27" s="113"/>
      <c r="AJ27" s="113"/>
      <c r="AK27" s="113"/>
      <c r="AL27" s="113"/>
      <c r="AM27" s="113"/>
      <c r="AN27" s="113"/>
      <c r="AO27" s="113"/>
    </row>
    <row r="28">
      <c r="A28" s="114" t="s">
        <v>40</v>
      </c>
      <c r="B28" s="115">
        <f t="shared" ref="B28:T28" si="7">B22/B8</f>
        <v>0.2157894737</v>
      </c>
      <c r="C28" s="115">
        <f t="shared" si="7"/>
        <v>0.9283018868</v>
      </c>
      <c r="D28" s="115">
        <f t="shared" si="7"/>
        <v>0.9551569507</v>
      </c>
      <c r="E28" s="115">
        <f t="shared" si="7"/>
        <v>0.825095057</v>
      </c>
      <c r="F28" s="115">
        <f t="shared" si="7"/>
        <v>0.9031141869</v>
      </c>
      <c r="G28" s="115">
        <f t="shared" si="7"/>
        <v>0.7808219178</v>
      </c>
      <c r="H28" s="115">
        <f t="shared" si="7"/>
        <v>0.8790560472</v>
      </c>
      <c r="I28" s="115">
        <f t="shared" si="7"/>
        <v>0.8941717791</v>
      </c>
      <c r="J28" s="115">
        <f t="shared" si="7"/>
        <v>0.8941717791</v>
      </c>
      <c r="K28" s="115">
        <f t="shared" si="7"/>
        <v>0.935483871</v>
      </c>
      <c r="L28" s="115">
        <f t="shared" si="7"/>
        <v>0.8867924528</v>
      </c>
      <c r="M28" s="115">
        <f t="shared" si="7"/>
        <v>0.950310559</v>
      </c>
      <c r="N28" s="115">
        <f t="shared" si="7"/>
        <v>1</v>
      </c>
      <c r="O28" s="115">
        <f t="shared" si="7"/>
        <v>0.9744408946</v>
      </c>
      <c r="P28" s="115">
        <f t="shared" si="7"/>
        <v>0.9659090909</v>
      </c>
      <c r="Q28" s="115">
        <f t="shared" si="7"/>
        <v>0.9731182796</v>
      </c>
      <c r="R28" s="115">
        <f t="shared" si="7"/>
        <v>0.9666666667</v>
      </c>
      <c r="S28" s="115">
        <f t="shared" si="7"/>
        <v>1</v>
      </c>
      <c r="T28" s="115">
        <f t="shared" si="7"/>
        <v>0.9672131148</v>
      </c>
      <c r="U28" s="115"/>
      <c r="V28" s="115"/>
      <c r="W28" s="115"/>
      <c r="X28" s="115"/>
      <c r="Y28" s="115"/>
      <c r="Z28" s="115"/>
      <c r="AA28" s="112"/>
      <c r="AB28" s="113"/>
      <c r="AC28" s="113"/>
      <c r="AD28" s="113"/>
      <c r="AE28" s="113"/>
      <c r="AF28" s="113"/>
      <c r="AG28" s="113"/>
      <c r="AH28" s="113"/>
      <c r="AI28" s="113"/>
      <c r="AJ28" s="113"/>
      <c r="AK28" s="113"/>
      <c r="AL28" s="113"/>
      <c r="AM28" s="113"/>
      <c r="AN28" s="113"/>
      <c r="AO28" s="113"/>
    </row>
    <row r="29">
      <c r="A29" s="117" t="s">
        <v>41</v>
      </c>
      <c r="B29" s="118"/>
      <c r="C29" s="119"/>
      <c r="D29" s="119"/>
      <c r="E29" s="119"/>
      <c r="F29" s="118"/>
      <c r="G29" s="118"/>
      <c r="H29" s="118"/>
      <c r="I29" s="119"/>
      <c r="J29" s="119"/>
      <c r="K29" s="119"/>
      <c r="L29" s="119"/>
      <c r="M29" s="119"/>
      <c r="N29" s="119"/>
      <c r="O29" s="119"/>
      <c r="P29" s="119"/>
      <c r="Q29" s="119"/>
      <c r="R29" s="119"/>
      <c r="S29" s="119"/>
      <c r="T29" s="120"/>
      <c r="U29" s="119"/>
      <c r="V29" s="119"/>
      <c r="W29" s="119"/>
      <c r="X29" s="119"/>
      <c r="Y29" s="119"/>
      <c r="Z29" s="119"/>
      <c r="AA29" s="121"/>
      <c r="AB29" s="121"/>
      <c r="AC29" s="121"/>
      <c r="AD29" s="121"/>
      <c r="AE29" s="121"/>
      <c r="AF29" s="99"/>
      <c r="AG29" s="99"/>
      <c r="AH29" s="99"/>
      <c r="AI29" s="99"/>
      <c r="AJ29" s="99"/>
      <c r="AK29" s="99"/>
      <c r="AL29" s="99"/>
      <c r="AM29" s="99"/>
      <c r="AN29" s="99"/>
      <c r="AO29" s="99"/>
    </row>
    <row r="30">
      <c r="A30" s="184" t="s">
        <v>141</v>
      </c>
      <c r="B30" s="185">
        <f t="shared" ref="B30:AB30" si="8">B61/B8</f>
        <v>0</v>
      </c>
      <c r="C30" s="185">
        <f t="shared" si="8"/>
        <v>0</v>
      </c>
      <c r="D30" s="185">
        <f t="shared" si="8"/>
        <v>0</v>
      </c>
      <c r="E30" s="185">
        <f t="shared" si="8"/>
        <v>0</v>
      </c>
      <c r="F30" s="185">
        <f t="shared" si="8"/>
        <v>0</v>
      </c>
      <c r="G30" s="185">
        <f t="shared" si="8"/>
        <v>0</v>
      </c>
      <c r="H30" s="185">
        <f t="shared" si="8"/>
        <v>0</v>
      </c>
      <c r="I30" s="185">
        <f t="shared" si="8"/>
        <v>0</v>
      </c>
      <c r="J30" s="185">
        <f t="shared" si="8"/>
        <v>0</v>
      </c>
      <c r="K30" s="185">
        <f t="shared" si="8"/>
        <v>0</v>
      </c>
      <c r="L30" s="185">
        <f t="shared" si="8"/>
        <v>0</v>
      </c>
      <c r="M30" s="185">
        <f t="shared" si="8"/>
        <v>0</v>
      </c>
      <c r="N30" s="185">
        <f t="shared" si="8"/>
        <v>0</v>
      </c>
      <c r="O30" s="185">
        <f t="shared" si="8"/>
        <v>0</v>
      </c>
      <c r="P30" s="185">
        <f t="shared" si="8"/>
        <v>0</v>
      </c>
      <c r="Q30" s="185">
        <f t="shared" si="8"/>
        <v>0</v>
      </c>
      <c r="R30" s="185">
        <f t="shared" si="8"/>
        <v>0</v>
      </c>
      <c r="S30" s="185">
        <f t="shared" si="8"/>
        <v>0</v>
      </c>
      <c r="T30" s="185">
        <f t="shared" si="8"/>
        <v>0</v>
      </c>
      <c r="U30" s="185" t="str">
        <f t="shared" si="8"/>
        <v>#DIV/0!</v>
      </c>
      <c r="V30" s="185" t="str">
        <f t="shared" si="8"/>
        <v>#DIV/0!</v>
      </c>
      <c r="W30" s="185" t="str">
        <f t="shared" si="8"/>
        <v>#DIV/0!</v>
      </c>
      <c r="X30" s="185" t="str">
        <f t="shared" si="8"/>
        <v>#DIV/0!</v>
      </c>
      <c r="Y30" s="185" t="str">
        <f t="shared" si="8"/>
        <v>#DIV/0!</v>
      </c>
      <c r="Z30" s="185" t="str">
        <f t="shared" si="8"/>
        <v>#DIV/0!</v>
      </c>
      <c r="AA30" s="185" t="str">
        <f t="shared" si="8"/>
        <v>#DIV/0!</v>
      </c>
      <c r="AB30" s="185" t="str">
        <f t="shared" si="8"/>
        <v>#DIV/0!</v>
      </c>
      <c r="AC30" s="186"/>
      <c r="AD30" s="186"/>
      <c r="AE30" s="186"/>
      <c r="AF30" s="186"/>
      <c r="AG30" s="186"/>
      <c r="AH30" s="186"/>
      <c r="AI30" s="186"/>
      <c r="AJ30" s="186"/>
      <c r="AK30" s="186"/>
      <c r="AL30" s="186"/>
      <c r="AM30" s="186"/>
      <c r="AN30" s="186"/>
      <c r="AO30" s="186"/>
    </row>
    <row r="31">
      <c r="A31" s="187" t="s">
        <v>42</v>
      </c>
      <c r="B31" s="191">
        <v>0.1756</v>
      </c>
      <c r="C31" s="185">
        <f>97/C8</f>
        <v>0.3660377358</v>
      </c>
      <c r="D31" s="185">
        <f>68/D8</f>
        <v>0.3049327354</v>
      </c>
      <c r="E31" s="185">
        <f>82/E8</f>
        <v>0.3117870722</v>
      </c>
      <c r="F31" s="185">
        <f>94/F8</f>
        <v>0.3252595156</v>
      </c>
      <c r="G31" s="191">
        <v>0.39</v>
      </c>
      <c r="H31" s="191">
        <f>139/H8</f>
        <v>0.4100294985</v>
      </c>
      <c r="I31" s="191">
        <v>0.3</v>
      </c>
      <c r="J31" s="191">
        <v>0.3</v>
      </c>
      <c r="K31" s="185">
        <f>96/K8</f>
        <v>0.3096774194</v>
      </c>
      <c r="L31" s="185">
        <f>130/L8</f>
        <v>0.4905660377</v>
      </c>
      <c r="M31" s="191">
        <v>0.36</v>
      </c>
      <c r="N31" s="191">
        <v>0.34</v>
      </c>
      <c r="O31" s="191">
        <v>0.35</v>
      </c>
      <c r="P31" s="191">
        <v>0.3</v>
      </c>
      <c r="Q31" s="191">
        <v>0.31</v>
      </c>
      <c r="R31" s="191">
        <v>0.4</v>
      </c>
      <c r="S31" s="191">
        <v>0.22</v>
      </c>
      <c r="T31" s="191">
        <v>0.32</v>
      </c>
      <c r="U31" s="185">
        <v>0.0</v>
      </c>
      <c r="V31" s="185">
        <v>0.0</v>
      </c>
      <c r="W31" s="185">
        <v>0.0</v>
      </c>
      <c r="X31" s="185">
        <v>0.0</v>
      </c>
      <c r="Y31" s="185">
        <v>0.0</v>
      </c>
      <c r="Z31" s="185">
        <v>0.0</v>
      </c>
      <c r="AA31" s="188"/>
      <c r="AB31" s="189"/>
      <c r="AC31" s="189"/>
      <c r="AD31" s="189"/>
      <c r="AE31" s="189"/>
      <c r="AF31" s="147"/>
      <c r="AG31" s="147"/>
      <c r="AH31" s="147"/>
      <c r="AI31" s="147"/>
      <c r="AJ31" s="147"/>
      <c r="AK31" s="147"/>
      <c r="AL31" s="147"/>
      <c r="AM31" s="147"/>
      <c r="AN31" s="147"/>
      <c r="AO31" s="147"/>
    </row>
    <row r="32">
      <c r="A32" s="190" t="s">
        <v>43</v>
      </c>
      <c r="B32" s="191">
        <v>1.0</v>
      </c>
      <c r="C32" s="185">
        <v>1.0</v>
      </c>
      <c r="D32" s="191">
        <v>1.0</v>
      </c>
      <c r="E32" s="191">
        <v>1.0</v>
      </c>
      <c r="F32" s="191">
        <v>1.0</v>
      </c>
      <c r="G32" s="191">
        <v>1.0</v>
      </c>
      <c r="H32" s="191">
        <v>1.0</v>
      </c>
      <c r="I32" s="191">
        <v>1.0</v>
      </c>
      <c r="J32" s="191">
        <v>1.0</v>
      </c>
      <c r="K32" s="191">
        <v>1.0</v>
      </c>
      <c r="L32" s="191">
        <v>1.0</v>
      </c>
      <c r="M32" s="191">
        <v>1.0</v>
      </c>
      <c r="N32" s="191">
        <v>1.0</v>
      </c>
      <c r="O32" s="191">
        <v>1.0</v>
      </c>
      <c r="P32" s="191">
        <v>1.0</v>
      </c>
      <c r="Q32" s="191">
        <v>1.0</v>
      </c>
      <c r="R32" s="185">
        <v>0.0</v>
      </c>
      <c r="S32" s="185">
        <v>0.0</v>
      </c>
      <c r="T32" s="191">
        <v>0.8</v>
      </c>
      <c r="U32" s="185">
        <v>0.0</v>
      </c>
      <c r="V32" s="185">
        <v>0.0</v>
      </c>
      <c r="W32" s="185">
        <v>0.0</v>
      </c>
      <c r="X32" s="185">
        <v>0.0</v>
      </c>
      <c r="Y32" s="185">
        <v>0.0</v>
      </c>
      <c r="Z32" s="185">
        <v>0.0</v>
      </c>
      <c r="AA32" s="189"/>
      <c r="AB32" s="189"/>
      <c r="AC32" s="189"/>
      <c r="AD32" s="189"/>
      <c r="AE32" s="189"/>
      <c r="AF32" s="147"/>
      <c r="AG32" s="147"/>
      <c r="AH32" s="147"/>
      <c r="AI32" s="147"/>
      <c r="AJ32" s="147"/>
      <c r="AK32" s="147"/>
      <c r="AL32" s="147"/>
      <c r="AM32" s="147"/>
      <c r="AN32" s="147"/>
      <c r="AO32" s="147"/>
    </row>
    <row r="33">
      <c r="A33" s="750" t="s">
        <v>44</v>
      </c>
      <c r="B33" s="730">
        <f t="shared" ref="B33:Z33" si="9">(B24*0.7) + (IF(B31 &gt;= 30%, 1, 0)*0.15) + (B32*0.15)</f>
        <v>0.15</v>
      </c>
      <c r="C33" s="730">
        <f t="shared" si="9"/>
        <v>0.3</v>
      </c>
      <c r="D33" s="730">
        <f t="shared" si="9"/>
        <v>0.3</v>
      </c>
      <c r="E33" s="730">
        <f t="shared" si="9"/>
        <v>1</v>
      </c>
      <c r="F33" s="730">
        <f t="shared" si="9"/>
        <v>1</v>
      </c>
      <c r="G33" s="730">
        <f t="shared" si="9"/>
        <v>1</v>
      </c>
      <c r="H33" s="730">
        <f t="shared" si="9"/>
        <v>1</v>
      </c>
      <c r="I33" s="730">
        <f t="shared" si="9"/>
        <v>0.3</v>
      </c>
      <c r="J33" s="730">
        <f t="shared" si="9"/>
        <v>0.3</v>
      </c>
      <c r="K33" s="730">
        <f t="shared" si="9"/>
        <v>1</v>
      </c>
      <c r="L33" s="730">
        <f t="shared" si="9"/>
        <v>0.3</v>
      </c>
      <c r="M33" s="730">
        <f t="shared" si="9"/>
        <v>1</v>
      </c>
      <c r="N33" s="730">
        <f t="shared" si="9"/>
        <v>0.3</v>
      </c>
      <c r="O33" s="730">
        <f t="shared" si="9"/>
        <v>1</v>
      </c>
      <c r="P33" s="730">
        <f t="shared" si="9"/>
        <v>0.3</v>
      </c>
      <c r="Q33" s="730">
        <f t="shared" si="9"/>
        <v>0.3</v>
      </c>
      <c r="R33" s="730">
        <f t="shared" si="9"/>
        <v>0.15</v>
      </c>
      <c r="S33" s="730">
        <f t="shared" si="9"/>
        <v>0.7</v>
      </c>
      <c r="T33" s="730">
        <f t="shared" si="9"/>
        <v>0.27</v>
      </c>
      <c r="U33" s="730">
        <f t="shared" si="9"/>
        <v>0</v>
      </c>
      <c r="V33" s="730">
        <f t="shared" si="9"/>
        <v>0</v>
      </c>
      <c r="W33" s="730">
        <f t="shared" si="9"/>
        <v>0</v>
      </c>
      <c r="X33" s="730">
        <f t="shared" si="9"/>
        <v>0</v>
      </c>
      <c r="Y33" s="730">
        <f t="shared" si="9"/>
        <v>0</v>
      </c>
      <c r="Z33" s="730">
        <f t="shared" si="9"/>
        <v>0</v>
      </c>
      <c r="AA33" s="731"/>
      <c r="AB33" s="731"/>
      <c r="AC33" s="731"/>
      <c r="AD33" s="731"/>
      <c r="AE33" s="731"/>
      <c r="AF33" s="732"/>
      <c r="AG33" s="732"/>
      <c r="AH33" s="732"/>
      <c r="AI33" s="732"/>
      <c r="AJ33" s="732"/>
      <c r="AK33" s="732"/>
      <c r="AL33" s="732"/>
      <c r="AM33" s="732"/>
      <c r="AN33" s="147"/>
      <c r="AO33" s="147"/>
    </row>
    <row r="34">
      <c r="A34" s="193" t="s">
        <v>142</v>
      </c>
      <c r="B34" s="194"/>
      <c r="F34" s="138"/>
      <c r="G34" s="138"/>
      <c r="H34" s="138"/>
      <c r="N34" s="730">
        <v>0.3</v>
      </c>
      <c r="O34" s="730">
        <v>1.0</v>
      </c>
      <c r="P34" s="730">
        <v>0.3</v>
      </c>
      <c r="Q34" s="730">
        <v>0.3</v>
      </c>
      <c r="R34" s="730">
        <v>0.15</v>
      </c>
      <c r="S34" s="751">
        <v>0.85</v>
      </c>
      <c r="T34" s="31"/>
    </row>
    <row r="35">
      <c r="A35" s="126" t="s">
        <v>45</v>
      </c>
      <c r="B35" s="127"/>
      <c r="C35" s="128"/>
      <c r="D35" s="128"/>
      <c r="E35" s="128"/>
      <c r="F35" s="127"/>
      <c r="G35" s="127"/>
      <c r="H35" s="127"/>
      <c r="I35" s="128"/>
      <c r="J35" s="128"/>
      <c r="K35" s="128"/>
      <c r="L35" s="128"/>
      <c r="M35" s="128"/>
      <c r="N35" s="128"/>
      <c r="O35" s="128"/>
      <c r="P35" s="128"/>
      <c r="Q35" s="128"/>
      <c r="R35" s="128"/>
      <c r="S35" s="128"/>
      <c r="T35" s="129"/>
      <c r="U35" s="128"/>
      <c r="V35" s="128"/>
      <c r="W35" s="128"/>
      <c r="X35" s="128"/>
      <c r="Y35" s="128"/>
      <c r="Z35" s="128"/>
      <c r="AA35" s="128"/>
      <c r="AB35" s="128"/>
      <c r="AC35" s="130"/>
      <c r="AD35" s="130"/>
      <c r="AE35" s="130"/>
      <c r="AF35" s="130"/>
      <c r="AG35" s="130"/>
      <c r="AH35" s="130"/>
      <c r="AI35" s="130"/>
      <c r="AJ35" s="130"/>
      <c r="AK35" s="130"/>
      <c r="AL35" s="130"/>
      <c r="AM35" s="130"/>
      <c r="AN35" s="130"/>
      <c r="AO35" s="130"/>
    </row>
    <row r="36">
      <c r="A36" s="131"/>
      <c r="B36" s="132"/>
      <c r="C36" s="130"/>
      <c r="D36" s="130"/>
      <c r="E36" s="130"/>
      <c r="F36" s="752"/>
      <c r="G36" s="752"/>
      <c r="H36" s="752"/>
      <c r="I36" s="130"/>
      <c r="J36" s="130"/>
      <c r="K36" s="130"/>
      <c r="L36" s="130"/>
      <c r="M36" s="130"/>
      <c r="N36" s="130"/>
      <c r="O36" s="130"/>
      <c r="P36" s="133"/>
      <c r="Q36" s="133"/>
      <c r="R36" s="133"/>
      <c r="S36" s="133"/>
      <c r="T36" s="134"/>
      <c r="U36" s="133"/>
      <c r="V36" s="133"/>
      <c r="W36" s="133"/>
      <c r="X36" s="133"/>
      <c r="Y36" s="133"/>
      <c r="Z36" s="133"/>
      <c r="AA36" s="133"/>
      <c r="AB36" s="130"/>
      <c r="AC36" s="130"/>
      <c r="AD36" s="130"/>
      <c r="AE36" s="130"/>
      <c r="AF36" s="130"/>
      <c r="AG36" s="130"/>
      <c r="AH36" s="130"/>
      <c r="AI36" s="130"/>
      <c r="AJ36" s="130"/>
      <c r="AK36" s="130"/>
      <c r="AL36" s="130"/>
      <c r="AM36" s="130"/>
      <c r="AN36" s="130"/>
      <c r="AO36" s="130"/>
    </row>
    <row r="37">
      <c r="A37" s="344" t="s">
        <v>46</v>
      </c>
      <c r="B37" s="127"/>
      <c r="C37" s="128"/>
      <c r="D37" s="128"/>
      <c r="E37" s="128"/>
      <c r="F37" s="127"/>
      <c r="G37" s="127"/>
      <c r="H37" s="127"/>
      <c r="I37" s="128"/>
      <c r="J37" s="128"/>
      <c r="K37" s="128"/>
      <c r="L37" s="128"/>
      <c r="M37" s="128"/>
      <c r="N37" s="128"/>
      <c r="O37" s="128"/>
      <c r="P37" s="128"/>
      <c r="Q37" s="128"/>
      <c r="R37" s="128"/>
      <c r="S37" s="128"/>
      <c r="T37" s="129"/>
      <c r="U37" s="128"/>
      <c r="V37" s="128"/>
      <c r="W37" s="128"/>
      <c r="X37" s="128"/>
      <c r="Y37" s="128"/>
      <c r="Z37" s="128"/>
      <c r="AA37" s="753">
        <f>AVERAGE(AA38:AA46)</f>
        <v>41.98390093</v>
      </c>
      <c r="AB37" s="128"/>
      <c r="AC37" s="130"/>
      <c r="AD37" s="130"/>
      <c r="AE37" s="130"/>
      <c r="AF37" s="130"/>
      <c r="AG37" s="130"/>
      <c r="AH37" s="130"/>
      <c r="AI37" s="130"/>
      <c r="AJ37" s="130"/>
      <c r="AK37" s="130"/>
      <c r="AL37" s="130"/>
      <c r="AM37" s="130"/>
      <c r="AN37" s="130"/>
      <c r="AO37" s="130"/>
    </row>
    <row r="38">
      <c r="A38" s="754" t="s">
        <v>815</v>
      </c>
      <c r="B38" s="755">
        <v>6.0</v>
      </c>
      <c r="C38" s="756">
        <v>0.0</v>
      </c>
      <c r="D38" s="756">
        <v>0.0</v>
      </c>
      <c r="E38" s="756">
        <v>5.0</v>
      </c>
      <c r="F38" s="755">
        <v>0.0</v>
      </c>
      <c r="G38" s="755">
        <v>26.0</v>
      </c>
      <c r="H38" s="755">
        <v>15.0</v>
      </c>
      <c r="I38" s="756">
        <v>36.0</v>
      </c>
      <c r="J38" s="756">
        <v>36.0</v>
      </c>
      <c r="K38" s="756">
        <v>21.0</v>
      </c>
      <c r="L38" s="756">
        <v>28.0</v>
      </c>
      <c r="M38" s="756">
        <v>19.0</v>
      </c>
      <c r="N38" s="756">
        <v>35.0</v>
      </c>
      <c r="O38" s="756">
        <v>22.0</v>
      </c>
      <c r="P38" s="756">
        <v>27.0</v>
      </c>
      <c r="Q38" s="756">
        <v>5.0</v>
      </c>
      <c r="R38" s="756">
        <v>10.0</v>
      </c>
      <c r="S38" s="756">
        <v>21.0</v>
      </c>
      <c r="T38" s="757">
        <v>50.0</v>
      </c>
      <c r="U38" s="756"/>
      <c r="V38" s="756"/>
      <c r="W38" s="756"/>
      <c r="X38" s="756"/>
      <c r="Y38" s="756"/>
      <c r="Z38" s="756"/>
      <c r="AA38" s="758">
        <f>AVERAGE(B38:Z38)</f>
        <v>19.05263158</v>
      </c>
      <c r="AB38" s="759">
        <f>SUM(B38:Z38)</f>
        <v>362</v>
      </c>
      <c r="AC38" s="759"/>
      <c r="AD38" s="759"/>
      <c r="AE38" s="759"/>
      <c r="AF38" s="759"/>
      <c r="AG38" s="759"/>
      <c r="AH38" s="759"/>
      <c r="AI38" s="759"/>
      <c r="AJ38" s="759"/>
      <c r="AK38" s="759"/>
      <c r="AL38" s="759"/>
      <c r="AM38" s="759"/>
      <c r="AN38" s="759"/>
      <c r="AO38" s="759"/>
    </row>
    <row r="39">
      <c r="A39" s="202" t="s">
        <v>367</v>
      </c>
      <c r="B39" s="137" t="s">
        <v>1284</v>
      </c>
      <c r="C39" s="132" t="s">
        <v>1285</v>
      </c>
      <c r="D39" s="132"/>
      <c r="E39" s="130"/>
      <c r="F39" s="132" t="s">
        <v>1286</v>
      </c>
      <c r="G39" s="132"/>
      <c r="H39" s="132" t="s">
        <v>1287</v>
      </c>
      <c r="I39" s="130"/>
      <c r="J39" s="130"/>
      <c r="K39" s="130"/>
      <c r="L39" s="130"/>
      <c r="M39" s="130"/>
      <c r="N39" s="130"/>
      <c r="O39" s="130"/>
      <c r="P39" s="130"/>
      <c r="Q39" s="130"/>
      <c r="R39" s="130"/>
      <c r="S39" s="130"/>
      <c r="T39" s="135"/>
      <c r="U39" s="130"/>
      <c r="V39" s="130"/>
      <c r="W39" s="130"/>
      <c r="X39" s="130"/>
      <c r="Y39" s="130"/>
      <c r="Z39" s="130"/>
      <c r="AA39" s="760"/>
      <c r="AB39" s="130"/>
      <c r="AC39" s="130"/>
      <c r="AD39" s="130"/>
      <c r="AE39" s="130"/>
      <c r="AF39" s="130"/>
      <c r="AG39" s="130"/>
      <c r="AH39" s="130"/>
      <c r="AI39" s="130"/>
      <c r="AJ39" s="130"/>
      <c r="AK39" s="130"/>
      <c r="AL39" s="130"/>
      <c r="AM39" s="130"/>
      <c r="AN39" s="130"/>
      <c r="AO39" s="130"/>
    </row>
    <row r="40">
      <c r="A40" s="754" t="s">
        <v>1288</v>
      </c>
      <c r="B40" s="755">
        <v>24.0</v>
      </c>
      <c r="C40" s="755">
        <v>22.0</v>
      </c>
      <c r="D40" s="755">
        <v>30.0</v>
      </c>
      <c r="E40" s="756">
        <v>47.0</v>
      </c>
      <c r="F40" s="755">
        <v>42.0</v>
      </c>
      <c r="G40" s="755">
        <v>41.0</v>
      </c>
      <c r="H40" s="755">
        <v>34.0</v>
      </c>
      <c r="I40" s="756">
        <v>76.0</v>
      </c>
      <c r="J40" s="756">
        <v>76.0</v>
      </c>
      <c r="K40" s="756">
        <v>30.0</v>
      </c>
      <c r="L40" s="133">
        <v>11.0</v>
      </c>
      <c r="M40" s="756">
        <v>41.0</v>
      </c>
      <c r="N40" s="310">
        <v>18.0</v>
      </c>
      <c r="O40" s="756">
        <v>38.0</v>
      </c>
      <c r="P40" s="756">
        <v>29.0</v>
      </c>
      <c r="Q40" s="756">
        <v>29.0</v>
      </c>
      <c r="R40" s="756">
        <v>63.0</v>
      </c>
      <c r="S40" s="756">
        <v>26.0</v>
      </c>
      <c r="T40" s="757">
        <v>54.0</v>
      </c>
      <c r="U40" s="759"/>
      <c r="V40" s="759"/>
      <c r="W40" s="759"/>
      <c r="X40" s="759"/>
      <c r="Y40" s="759"/>
      <c r="Z40" s="759"/>
      <c r="AA40" s="758">
        <f>AVERAGE(B40:Z40)</f>
        <v>38.47368421</v>
      </c>
      <c r="AB40" s="759">
        <f>SUM(B40:Z40)</f>
        <v>731</v>
      </c>
      <c r="AC40" s="759"/>
      <c r="AD40" s="759"/>
      <c r="AE40" s="759"/>
      <c r="AF40" s="759"/>
      <c r="AG40" s="759"/>
      <c r="AH40" s="759"/>
      <c r="AI40" s="759"/>
      <c r="AJ40" s="759"/>
      <c r="AK40" s="759"/>
      <c r="AL40" s="759"/>
      <c r="AM40" s="759"/>
      <c r="AN40" s="759"/>
      <c r="AO40" s="759"/>
    </row>
    <row r="41">
      <c r="A41" s="202" t="s">
        <v>367</v>
      </c>
      <c r="B41" s="137" t="s">
        <v>1289</v>
      </c>
      <c r="C41" s="132" t="s">
        <v>1290</v>
      </c>
      <c r="D41" s="132" t="s">
        <v>1291</v>
      </c>
      <c r="E41" s="132" t="s">
        <v>1292</v>
      </c>
      <c r="F41" s="132" t="s">
        <v>1293</v>
      </c>
      <c r="G41" s="132" t="s">
        <v>1294</v>
      </c>
      <c r="H41" s="132" t="s">
        <v>1295</v>
      </c>
      <c r="I41" s="133"/>
      <c r="J41" s="133"/>
      <c r="K41" s="133"/>
      <c r="M41" s="133"/>
      <c r="N41" s="133"/>
      <c r="O41" s="133"/>
      <c r="P41" s="133"/>
      <c r="Q41" s="133"/>
      <c r="R41" s="133"/>
      <c r="S41" s="133"/>
      <c r="T41" s="134"/>
      <c r="U41" s="133"/>
      <c r="V41" s="133"/>
      <c r="W41" s="133"/>
      <c r="X41" s="133"/>
      <c r="Y41" s="133"/>
      <c r="Z41" s="133"/>
      <c r="AA41" s="760"/>
      <c r="AB41" s="130"/>
      <c r="AC41" s="130"/>
      <c r="AD41" s="130"/>
      <c r="AE41" s="130"/>
      <c r="AF41" s="130"/>
      <c r="AG41" s="130"/>
      <c r="AH41" s="130"/>
      <c r="AI41" s="130"/>
      <c r="AJ41" s="130"/>
      <c r="AK41" s="130"/>
      <c r="AL41" s="130"/>
      <c r="AM41" s="130"/>
      <c r="AN41" s="130"/>
      <c r="AO41" s="130"/>
    </row>
    <row r="42">
      <c r="A42" s="754" t="s">
        <v>1296</v>
      </c>
      <c r="B42" s="755">
        <v>20.0</v>
      </c>
      <c r="C42" s="755">
        <v>31.0</v>
      </c>
      <c r="D42" s="755">
        <v>21.0</v>
      </c>
      <c r="E42" s="756">
        <v>38.0</v>
      </c>
      <c r="F42" s="755">
        <v>37.0</v>
      </c>
      <c r="G42" s="755">
        <v>45.0</v>
      </c>
      <c r="H42" s="755">
        <v>55.0</v>
      </c>
      <c r="I42" s="756">
        <v>73.0</v>
      </c>
      <c r="J42" s="756">
        <v>73.0</v>
      </c>
      <c r="K42" s="756">
        <v>46.0</v>
      </c>
      <c r="L42" s="756">
        <v>30.0</v>
      </c>
      <c r="M42" s="756">
        <v>26.0</v>
      </c>
      <c r="N42" s="756">
        <v>20.0</v>
      </c>
      <c r="O42" s="756">
        <v>30.0</v>
      </c>
      <c r="P42" s="756">
        <v>13.0</v>
      </c>
      <c r="Q42" s="756">
        <v>17.0</v>
      </c>
      <c r="R42" s="756">
        <v>19.0</v>
      </c>
      <c r="S42" s="756">
        <v>20.0</v>
      </c>
      <c r="T42" s="757">
        <v>43.0</v>
      </c>
      <c r="U42" s="756"/>
      <c r="V42" s="756"/>
      <c r="W42" s="756"/>
      <c r="X42" s="756"/>
      <c r="Y42" s="756"/>
      <c r="Z42" s="756"/>
      <c r="AA42" s="758">
        <f>AVERAGE(B42:Z42)</f>
        <v>34.57894737</v>
      </c>
      <c r="AB42" s="759">
        <f>SUM(B42:Z42)</f>
        <v>657</v>
      </c>
      <c r="AC42" s="759"/>
      <c r="AD42" s="759"/>
      <c r="AE42" s="759"/>
      <c r="AF42" s="759"/>
      <c r="AG42" s="759"/>
      <c r="AH42" s="759"/>
      <c r="AI42" s="759"/>
      <c r="AJ42" s="759"/>
      <c r="AK42" s="759"/>
      <c r="AL42" s="759"/>
      <c r="AM42" s="759"/>
      <c r="AN42" s="759"/>
      <c r="AO42" s="759"/>
    </row>
    <row r="43">
      <c r="A43" s="202" t="s">
        <v>367</v>
      </c>
      <c r="B43" s="137" t="s">
        <v>1297</v>
      </c>
      <c r="C43" s="132" t="s">
        <v>1285</v>
      </c>
      <c r="D43" s="132" t="s">
        <v>1298</v>
      </c>
      <c r="E43" s="133" t="s">
        <v>1299</v>
      </c>
      <c r="F43" s="132" t="s">
        <v>1300</v>
      </c>
      <c r="G43" s="132" t="s">
        <v>1301</v>
      </c>
      <c r="H43" s="132" t="s">
        <v>1302</v>
      </c>
      <c r="I43" s="133"/>
      <c r="J43" s="133"/>
      <c r="K43" s="133"/>
      <c r="L43" s="133"/>
      <c r="M43" s="133"/>
      <c r="N43" s="133"/>
      <c r="O43" s="133"/>
      <c r="P43" s="133"/>
      <c r="Q43" s="133"/>
      <c r="R43" s="133"/>
      <c r="S43" s="133"/>
      <c r="T43" s="134"/>
      <c r="U43" s="133"/>
      <c r="V43" s="133"/>
      <c r="W43" s="133"/>
      <c r="X43" s="133"/>
      <c r="Y43" s="133"/>
      <c r="Z43" s="133"/>
      <c r="AA43" s="760"/>
      <c r="AB43" s="130"/>
      <c r="AC43" s="130"/>
      <c r="AD43" s="130"/>
      <c r="AE43" s="130"/>
      <c r="AF43" s="130"/>
      <c r="AG43" s="130"/>
      <c r="AH43" s="130"/>
      <c r="AI43" s="130"/>
      <c r="AJ43" s="130"/>
      <c r="AK43" s="130"/>
      <c r="AL43" s="130"/>
      <c r="AM43" s="130"/>
      <c r="AN43" s="130"/>
      <c r="AO43" s="130"/>
    </row>
    <row r="44">
      <c r="A44" s="754" t="s">
        <v>1247</v>
      </c>
      <c r="B44" s="755">
        <v>43.0</v>
      </c>
      <c r="C44" s="755">
        <v>58.0</v>
      </c>
      <c r="D44" s="756">
        <v>50.0</v>
      </c>
      <c r="E44" s="756">
        <v>24.0</v>
      </c>
      <c r="F44" s="755">
        <v>58.0</v>
      </c>
      <c r="G44" s="755">
        <v>50.0</v>
      </c>
      <c r="H44" s="755">
        <v>100.0</v>
      </c>
      <c r="I44" s="756">
        <v>113.0</v>
      </c>
      <c r="J44" s="756">
        <v>113.0</v>
      </c>
      <c r="K44" s="756">
        <v>50.0</v>
      </c>
      <c r="L44" s="756">
        <v>48.0</v>
      </c>
      <c r="M44" s="756">
        <v>62.0</v>
      </c>
      <c r="N44" s="756">
        <v>43.0</v>
      </c>
      <c r="O44" s="756">
        <v>38.0</v>
      </c>
      <c r="P44" s="756">
        <v>63.0</v>
      </c>
      <c r="Q44" s="756">
        <v>10.0</v>
      </c>
      <c r="R44" s="756">
        <v>16.0</v>
      </c>
      <c r="S44" s="756"/>
      <c r="T44" s="757"/>
      <c r="U44" s="756"/>
      <c r="V44" s="756"/>
      <c r="W44" s="756"/>
      <c r="X44" s="756"/>
      <c r="Y44" s="756"/>
      <c r="Z44" s="756"/>
      <c r="AA44" s="758">
        <f>AVERAGE(B44:Z44)</f>
        <v>55.23529412</v>
      </c>
      <c r="AB44" s="759">
        <f>SUM(B44:Z44)</f>
        <v>939</v>
      </c>
      <c r="AC44" s="759"/>
      <c r="AD44" s="759"/>
      <c r="AE44" s="759"/>
      <c r="AF44" s="759"/>
      <c r="AG44" s="759"/>
      <c r="AH44" s="759"/>
      <c r="AI44" s="759"/>
      <c r="AJ44" s="759"/>
      <c r="AK44" s="759"/>
      <c r="AL44" s="759"/>
      <c r="AM44" s="759"/>
      <c r="AN44" s="759"/>
      <c r="AO44" s="759"/>
    </row>
    <row r="45">
      <c r="A45" s="202" t="s">
        <v>367</v>
      </c>
      <c r="B45" s="137" t="s">
        <v>1303</v>
      </c>
      <c r="C45" s="132" t="s">
        <v>1304</v>
      </c>
      <c r="D45" s="133"/>
      <c r="E45" s="133"/>
      <c r="F45" s="132" t="s">
        <v>1305</v>
      </c>
      <c r="G45" s="132" t="s">
        <v>1306</v>
      </c>
      <c r="H45" s="132" t="s">
        <v>1307</v>
      </c>
      <c r="I45" s="133"/>
      <c r="J45" s="133"/>
      <c r="K45" s="133"/>
      <c r="L45" s="133"/>
      <c r="M45" s="133"/>
      <c r="N45" s="133"/>
      <c r="O45" s="133"/>
      <c r="P45" s="133"/>
      <c r="Q45" s="133"/>
      <c r="R45" s="133"/>
      <c r="S45" s="133"/>
      <c r="T45" s="133"/>
      <c r="U45" s="133"/>
      <c r="V45" s="133"/>
      <c r="W45" s="133"/>
      <c r="X45" s="133"/>
      <c r="Y45" s="133"/>
      <c r="Z45" s="133"/>
      <c r="AA45" s="760"/>
      <c r="AB45" s="130"/>
      <c r="AC45" s="130"/>
      <c r="AD45" s="130"/>
      <c r="AE45" s="130"/>
      <c r="AF45" s="130"/>
      <c r="AG45" s="130"/>
      <c r="AH45" s="130"/>
      <c r="AI45" s="130"/>
      <c r="AJ45" s="130"/>
      <c r="AK45" s="130"/>
      <c r="AL45" s="130"/>
      <c r="AM45" s="130"/>
      <c r="AN45" s="130"/>
      <c r="AO45" s="130"/>
    </row>
    <row r="46">
      <c r="A46" s="761" t="s">
        <v>1244</v>
      </c>
      <c r="B46" s="755">
        <v>0.0</v>
      </c>
      <c r="C46" s="756">
        <v>45.0</v>
      </c>
      <c r="D46" s="756">
        <v>65.0</v>
      </c>
      <c r="E46" s="756">
        <v>71.0</v>
      </c>
      <c r="F46" s="755">
        <v>73.0</v>
      </c>
      <c r="G46" s="755">
        <v>56.0</v>
      </c>
      <c r="H46" s="755">
        <v>83.0</v>
      </c>
      <c r="I46" s="756">
        <v>96.0</v>
      </c>
      <c r="J46" s="756">
        <v>96.0</v>
      </c>
      <c r="K46" s="756">
        <v>63.0</v>
      </c>
      <c r="L46" s="756">
        <v>30.0</v>
      </c>
      <c r="M46" s="756">
        <v>74.0</v>
      </c>
      <c r="N46" s="756">
        <v>47.0</v>
      </c>
      <c r="O46" s="756">
        <v>72.0</v>
      </c>
      <c r="P46" s="756">
        <v>51.0</v>
      </c>
      <c r="Q46" s="756">
        <v>61.0</v>
      </c>
      <c r="R46" s="756">
        <v>89.0</v>
      </c>
      <c r="S46" s="756">
        <v>92.0</v>
      </c>
      <c r="T46" s="756">
        <v>25.0</v>
      </c>
      <c r="U46" s="756"/>
      <c r="V46" s="756"/>
      <c r="W46" s="756"/>
      <c r="X46" s="756"/>
      <c r="Y46" s="756"/>
      <c r="Z46" s="756"/>
      <c r="AA46" s="758">
        <f>AVERAGE(B46:Z46)</f>
        <v>62.57894737</v>
      </c>
      <c r="AB46" s="759">
        <f>SUM(B46:Z46)</f>
        <v>1189</v>
      </c>
      <c r="AC46" s="759"/>
      <c r="AD46" s="759"/>
      <c r="AE46" s="759"/>
      <c r="AF46" s="759"/>
      <c r="AG46" s="759"/>
      <c r="AH46" s="759"/>
      <c r="AI46" s="759"/>
      <c r="AJ46" s="759"/>
      <c r="AK46" s="759"/>
      <c r="AL46" s="759"/>
      <c r="AM46" s="759"/>
      <c r="AN46" s="759"/>
      <c r="AO46" s="759"/>
    </row>
    <row r="47">
      <c r="A47" s="202" t="s">
        <v>367</v>
      </c>
      <c r="B47" s="137"/>
      <c r="C47" s="133"/>
      <c r="D47" s="133"/>
      <c r="E47" s="133" t="s">
        <v>1308</v>
      </c>
      <c r="F47" s="132"/>
      <c r="G47" s="132" t="s">
        <v>1309</v>
      </c>
      <c r="H47" s="132" t="s">
        <v>1310</v>
      </c>
      <c r="I47" s="133"/>
      <c r="J47" s="133"/>
      <c r="K47" s="133"/>
      <c r="L47" s="133"/>
      <c r="M47" s="133"/>
      <c r="N47" s="133"/>
      <c r="O47" s="133"/>
      <c r="P47" s="133"/>
      <c r="Q47" s="133"/>
      <c r="R47" s="133"/>
      <c r="S47" s="133"/>
      <c r="T47" s="134"/>
      <c r="U47" s="133"/>
      <c r="V47" s="133"/>
      <c r="W47" s="133"/>
      <c r="X47" s="133"/>
      <c r="Y47" s="133"/>
      <c r="Z47" s="133"/>
      <c r="AA47" s="133"/>
      <c r="AB47" s="133"/>
      <c r="AC47" s="130"/>
      <c r="AD47" s="130"/>
      <c r="AE47" s="130"/>
      <c r="AF47" s="130"/>
      <c r="AG47" s="130"/>
      <c r="AH47" s="130"/>
      <c r="AI47" s="130"/>
      <c r="AJ47" s="130"/>
      <c r="AK47" s="130"/>
      <c r="AL47" s="130"/>
      <c r="AM47" s="130"/>
      <c r="AN47" s="130"/>
      <c r="AO47" s="130"/>
    </row>
    <row r="48">
      <c r="A48" s="762" t="s">
        <v>1311</v>
      </c>
      <c r="B48" s="755"/>
      <c r="C48" s="756"/>
      <c r="D48" s="756"/>
      <c r="E48" s="756"/>
      <c r="F48" s="755"/>
      <c r="G48" s="755"/>
      <c r="H48" s="755"/>
      <c r="I48" s="756"/>
      <c r="J48" s="756"/>
      <c r="K48" s="756"/>
      <c r="L48" s="756"/>
      <c r="M48" s="756"/>
      <c r="N48" s="756"/>
      <c r="O48" s="756"/>
      <c r="P48" s="756"/>
      <c r="Q48" s="756"/>
      <c r="R48" s="756">
        <v>10.0</v>
      </c>
      <c r="S48" s="756">
        <v>0.0</v>
      </c>
      <c r="T48" s="757">
        <v>2.0</v>
      </c>
      <c r="V48" s="756"/>
      <c r="W48" s="756"/>
      <c r="X48" s="756"/>
      <c r="Y48" s="756"/>
      <c r="Z48" s="756"/>
      <c r="AA48" s="758">
        <f>AVERAGE(B48:Z48)</f>
        <v>4</v>
      </c>
      <c r="AB48" s="759">
        <f>SUM(B48:Z48)</f>
        <v>12</v>
      </c>
      <c r="AC48" s="759"/>
      <c r="AD48" s="759"/>
      <c r="AE48" s="759"/>
      <c r="AF48" s="759"/>
      <c r="AG48" s="759"/>
      <c r="AH48" s="759"/>
      <c r="AI48" s="759"/>
      <c r="AJ48" s="759"/>
      <c r="AK48" s="759"/>
      <c r="AL48" s="759"/>
      <c r="AM48" s="759"/>
      <c r="AN48" s="759"/>
      <c r="AO48" s="759"/>
    </row>
    <row r="49">
      <c r="A49" s="202" t="s">
        <v>367</v>
      </c>
      <c r="B49" s="137"/>
      <c r="C49" s="133"/>
      <c r="D49" s="133"/>
      <c r="E49" s="133"/>
      <c r="F49" s="132"/>
      <c r="G49" s="132"/>
      <c r="H49" s="132"/>
      <c r="I49" s="133"/>
      <c r="J49" s="133"/>
      <c r="K49" s="133"/>
      <c r="L49" s="133"/>
      <c r="M49" s="133"/>
      <c r="N49" s="133"/>
      <c r="O49" s="133"/>
      <c r="P49" s="133"/>
      <c r="Q49" s="133"/>
      <c r="R49" s="133"/>
      <c r="S49" s="133"/>
      <c r="T49" s="134"/>
      <c r="U49" s="133"/>
      <c r="V49" s="133"/>
      <c r="W49" s="133"/>
      <c r="X49" s="133"/>
      <c r="Y49" s="133"/>
      <c r="Z49" s="133"/>
      <c r="AA49" s="760"/>
      <c r="AB49" s="130"/>
      <c r="AC49" s="130"/>
      <c r="AD49" s="130"/>
      <c r="AE49" s="130"/>
      <c r="AF49" s="130"/>
      <c r="AG49" s="130"/>
      <c r="AH49" s="130"/>
      <c r="AI49" s="130"/>
      <c r="AJ49" s="130"/>
      <c r="AK49" s="130"/>
      <c r="AL49" s="130"/>
      <c r="AM49" s="130"/>
      <c r="AN49" s="130"/>
      <c r="AO49" s="130"/>
    </row>
    <row r="50">
      <c r="A50" s="754" t="s">
        <v>1312</v>
      </c>
      <c r="B50" s="755">
        <v>4.0</v>
      </c>
      <c r="C50" s="756">
        <v>2.0</v>
      </c>
      <c r="D50" s="756">
        <v>8.0</v>
      </c>
      <c r="E50" s="756">
        <v>14.0</v>
      </c>
      <c r="F50" s="755">
        <v>5.0</v>
      </c>
      <c r="G50" s="755">
        <v>14.0</v>
      </c>
      <c r="H50" s="755">
        <v>10.0</v>
      </c>
      <c r="I50" s="756">
        <v>47.0</v>
      </c>
      <c r="J50" s="756">
        <v>47.0</v>
      </c>
      <c r="K50" s="756" t="s">
        <v>59</v>
      </c>
      <c r="L50" s="756"/>
      <c r="M50" s="756">
        <v>28.0</v>
      </c>
      <c r="N50" s="756">
        <v>15.0</v>
      </c>
      <c r="O50" s="756"/>
      <c r="P50" s="756"/>
      <c r="Q50" s="756"/>
      <c r="R50" s="756"/>
      <c r="S50" s="756"/>
      <c r="T50" s="756">
        <v>11.0</v>
      </c>
      <c r="U50" s="756"/>
      <c r="V50" s="756"/>
      <c r="W50" s="756"/>
      <c r="X50" s="756"/>
      <c r="Y50" s="756"/>
      <c r="Z50" s="756"/>
      <c r="AA50" s="758">
        <f>AVERAGE(B50:Z50)</f>
        <v>17.08333333</v>
      </c>
      <c r="AB50" s="759">
        <f>SUM(B50:Z50)</f>
        <v>205</v>
      </c>
      <c r="AC50" s="759"/>
      <c r="AD50" s="759"/>
      <c r="AE50" s="759"/>
      <c r="AF50" s="759"/>
      <c r="AG50" s="759"/>
      <c r="AH50" s="759"/>
      <c r="AI50" s="759"/>
      <c r="AJ50" s="759"/>
      <c r="AK50" s="759"/>
      <c r="AL50" s="759"/>
      <c r="AM50" s="759"/>
      <c r="AN50" s="759"/>
      <c r="AO50" s="759"/>
    </row>
    <row r="51">
      <c r="A51" s="202" t="s">
        <v>367</v>
      </c>
      <c r="B51" s="137"/>
      <c r="C51" s="133"/>
      <c r="D51" s="133"/>
      <c r="E51" s="133"/>
      <c r="F51" s="132"/>
      <c r="G51" s="132"/>
      <c r="H51" s="132"/>
      <c r="I51" s="133"/>
      <c r="J51" s="133"/>
      <c r="K51" s="133"/>
      <c r="L51" s="133"/>
      <c r="M51" s="133"/>
      <c r="N51" s="133"/>
      <c r="O51" s="133"/>
      <c r="P51" s="133"/>
      <c r="Q51" s="133"/>
      <c r="R51" s="133"/>
      <c r="S51" s="133"/>
      <c r="T51" s="134"/>
      <c r="U51" s="133"/>
      <c r="V51" s="133"/>
      <c r="W51" s="133"/>
      <c r="X51" s="133"/>
      <c r="Y51" s="133"/>
      <c r="Z51" s="133"/>
      <c r="AA51" s="130"/>
      <c r="AB51" s="130"/>
      <c r="AC51" s="130"/>
      <c r="AD51" s="130"/>
      <c r="AE51" s="130"/>
      <c r="AF51" s="130"/>
      <c r="AG51" s="130"/>
      <c r="AH51" s="130"/>
      <c r="AI51" s="130"/>
      <c r="AJ51" s="130"/>
      <c r="AK51" s="130"/>
      <c r="AL51" s="130"/>
      <c r="AM51" s="130"/>
      <c r="AN51" s="130"/>
      <c r="AO51" s="130"/>
    </row>
    <row r="52">
      <c r="A52" s="763" t="s">
        <v>462</v>
      </c>
      <c r="B52" s="764">
        <f t="shared" ref="B52:K52" si="10">sum(B53:B57)</f>
        <v>10</v>
      </c>
      <c r="C52" s="764">
        <f t="shared" si="10"/>
        <v>19</v>
      </c>
      <c r="D52" s="764">
        <f t="shared" si="10"/>
        <v>15</v>
      </c>
      <c r="E52" s="764">
        <f t="shared" si="10"/>
        <v>3</v>
      </c>
      <c r="F52" s="764">
        <f t="shared" si="10"/>
        <v>13</v>
      </c>
      <c r="G52" s="764">
        <f t="shared" si="10"/>
        <v>16</v>
      </c>
      <c r="H52" s="764">
        <f t="shared" si="10"/>
        <v>14</v>
      </c>
      <c r="I52" s="764">
        <f t="shared" si="10"/>
        <v>20</v>
      </c>
      <c r="J52" s="764">
        <f t="shared" si="10"/>
        <v>20</v>
      </c>
      <c r="K52" s="764">
        <f t="shared" si="10"/>
        <v>12</v>
      </c>
      <c r="L52" s="765"/>
      <c r="M52" s="765"/>
      <c r="N52" s="765"/>
      <c r="O52" s="765"/>
      <c r="P52" s="765"/>
      <c r="Q52" s="765"/>
      <c r="R52" s="765"/>
      <c r="S52" s="765"/>
      <c r="T52" s="766"/>
      <c r="U52" s="765"/>
      <c r="V52" s="765"/>
      <c r="W52" s="765"/>
      <c r="X52" s="765"/>
      <c r="Y52" s="765"/>
      <c r="Z52" s="765"/>
      <c r="AA52" s="767"/>
      <c r="AB52" s="767"/>
      <c r="AC52" s="767"/>
      <c r="AD52" s="767"/>
      <c r="AE52" s="767"/>
      <c r="AF52" s="767"/>
      <c r="AG52" s="767"/>
      <c r="AH52" s="767"/>
      <c r="AI52" s="767"/>
      <c r="AJ52" s="767"/>
      <c r="AK52" s="767"/>
      <c r="AL52" s="767"/>
      <c r="AM52" s="767"/>
      <c r="AN52" s="767"/>
      <c r="AO52" s="767"/>
    </row>
    <row r="53">
      <c r="A53" s="199" t="s">
        <v>1313</v>
      </c>
      <c r="B53" s="768">
        <v>3.0</v>
      </c>
      <c r="C53" s="199">
        <v>0.0</v>
      </c>
      <c r="D53" s="199">
        <v>0.0</v>
      </c>
      <c r="E53" s="199">
        <v>1.0</v>
      </c>
      <c r="F53" s="413">
        <v>5.0</v>
      </c>
      <c r="G53" s="413">
        <v>7.0</v>
      </c>
      <c r="H53" s="413">
        <v>0.0</v>
      </c>
      <c r="I53" s="199">
        <v>0.0</v>
      </c>
      <c r="J53" s="199">
        <v>0.0</v>
      </c>
      <c r="K53" s="199">
        <v>0.0</v>
      </c>
      <c r="T53" s="31"/>
    </row>
    <row r="54">
      <c r="A54" s="199" t="s">
        <v>1248</v>
      </c>
      <c r="B54" s="768">
        <v>2.0</v>
      </c>
      <c r="C54" s="199">
        <v>16.0</v>
      </c>
      <c r="D54" s="199">
        <v>13.0</v>
      </c>
      <c r="E54" s="199">
        <v>2.0</v>
      </c>
      <c r="F54" s="413">
        <v>8.0</v>
      </c>
      <c r="G54" s="413">
        <v>5.0</v>
      </c>
      <c r="H54" s="413">
        <v>14.0</v>
      </c>
      <c r="I54" s="199">
        <v>14.0</v>
      </c>
      <c r="J54" s="199">
        <v>14.0</v>
      </c>
      <c r="K54" s="199">
        <v>10.0</v>
      </c>
      <c r="T54" s="31"/>
    </row>
    <row r="55">
      <c r="A55" s="199" t="s">
        <v>1314</v>
      </c>
      <c r="B55" s="768"/>
      <c r="C55" s="199"/>
      <c r="D55" s="199"/>
      <c r="E55" s="199"/>
      <c r="F55" s="138"/>
      <c r="G55" s="413">
        <v>3.0</v>
      </c>
      <c r="H55" s="413">
        <v>0.0</v>
      </c>
      <c r="I55" s="199">
        <v>3.0</v>
      </c>
      <c r="J55" s="199">
        <v>3.0</v>
      </c>
      <c r="K55" s="199">
        <v>0.0</v>
      </c>
      <c r="T55" s="31"/>
    </row>
    <row r="56">
      <c r="A56" s="199" t="s">
        <v>1315</v>
      </c>
      <c r="B56" s="768"/>
      <c r="C56" s="199">
        <v>3.0</v>
      </c>
      <c r="D56" s="199">
        <v>0.0</v>
      </c>
      <c r="E56" s="199">
        <v>0.0</v>
      </c>
      <c r="F56" s="138"/>
      <c r="G56" s="413">
        <v>1.0</v>
      </c>
      <c r="H56" s="413">
        <v>0.0</v>
      </c>
      <c r="I56" s="199">
        <v>3.0</v>
      </c>
      <c r="J56" s="199">
        <v>3.0</v>
      </c>
      <c r="K56" s="199">
        <v>2.0</v>
      </c>
      <c r="T56" s="31"/>
    </row>
    <row r="57">
      <c r="A57" s="199" t="s">
        <v>1316</v>
      </c>
      <c r="B57" s="768">
        <v>5.0</v>
      </c>
      <c r="C57" s="199">
        <v>0.0</v>
      </c>
      <c r="D57" s="199">
        <v>2.0</v>
      </c>
      <c r="E57" s="199">
        <v>0.0</v>
      </c>
      <c r="F57" s="138"/>
      <c r="G57" s="138"/>
      <c r="H57" s="138"/>
      <c r="T57" s="31"/>
    </row>
    <row r="58">
      <c r="A58" s="769" t="s">
        <v>1317</v>
      </c>
      <c r="B58" s="770">
        <f t="shared" ref="B58:K58" si="11">SUM(B38:B52)</f>
        <v>107</v>
      </c>
      <c r="C58" s="770">
        <f t="shared" si="11"/>
        <v>177</v>
      </c>
      <c r="D58" s="770">
        <f t="shared" si="11"/>
        <v>189</v>
      </c>
      <c r="E58" s="770">
        <f t="shared" si="11"/>
        <v>202</v>
      </c>
      <c r="F58" s="771">
        <f t="shared" si="11"/>
        <v>228</v>
      </c>
      <c r="G58" s="771">
        <f t="shared" si="11"/>
        <v>248</v>
      </c>
      <c r="H58" s="771">
        <f t="shared" si="11"/>
        <v>311</v>
      </c>
      <c r="I58" s="771">
        <f t="shared" si="11"/>
        <v>461</v>
      </c>
      <c r="J58" s="771">
        <f t="shared" si="11"/>
        <v>461</v>
      </c>
      <c r="K58" s="771">
        <f t="shared" si="11"/>
        <v>222</v>
      </c>
      <c r="L58" s="770"/>
      <c r="M58" s="770"/>
      <c r="N58" s="770"/>
      <c r="O58" s="770"/>
      <c r="P58" s="770"/>
      <c r="Q58" s="770"/>
      <c r="R58" s="770"/>
      <c r="S58" s="770"/>
      <c r="T58" s="772"/>
      <c r="U58" s="770"/>
      <c r="V58" s="770"/>
      <c r="W58" s="770"/>
      <c r="X58" s="770"/>
      <c r="Y58" s="770"/>
      <c r="Z58" s="770"/>
      <c r="AA58" s="770"/>
      <c r="AB58" s="770"/>
      <c r="AC58" s="770"/>
      <c r="AD58" s="770"/>
      <c r="AE58" s="770"/>
      <c r="AF58" s="770"/>
      <c r="AG58" s="770"/>
      <c r="AH58" s="770"/>
      <c r="AI58" s="770"/>
      <c r="AJ58" s="770"/>
      <c r="AK58" s="770"/>
      <c r="AL58" s="770"/>
      <c r="AM58" s="770"/>
      <c r="AN58" s="770"/>
      <c r="AO58" s="770"/>
    </row>
    <row r="59">
      <c r="B59" s="138"/>
      <c r="F59" s="138"/>
      <c r="G59" s="138"/>
      <c r="H59" s="138"/>
      <c r="T59" s="31"/>
    </row>
    <row r="60">
      <c r="A60" s="773" t="s">
        <v>1318</v>
      </c>
      <c r="B60" s="381"/>
      <c r="C60" s="382"/>
      <c r="D60" s="382"/>
      <c r="E60" s="382"/>
      <c r="F60" s="381"/>
      <c r="G60" s="381"/>
      <c r="H60" s="381"/>
      <c r="I60" s="382"/>
      <c r="J60" s="382"/>
      <c r="K60" s="382"/>
      <c r="L60" s="382"/>
      <c r="M60" s="773" t="s">
        <v>1244</v>
      </c>
      <c r="N60" s="773" t="s">
        <v>1247</v>
      </c>
      <c r="O60" s="773" t="s">
        <v>1288</v>
      </c>
      <c r="P60" s="773" t="s">
        <v>815</v>
      </c>
      <c r="Q60" s="773" t="s">
        <v>815</v>
      </c>
      <c r="R60" s="773" t="s">
        <v>1296</v>
      </c>
      <c r="S60" s="773" t="s">
        <v>1244</v>
      </c>
      <c r="T60" s="774" t="s">
        <v>815</v>
      </c>
      <c r="U60" s="382"/>
      <c r="V60" s="382"/>
      <c r="W60" s="382"/>
      <c r="X60" s="382"/>
      <c r="Y60" s="382"/>
      <c r="Z60" s="382"/>
      <c r="AA60" s="382"/>
      <c r="AB60" s="382"/>
      <c r="AC60" s="382"/>
      <c r="AD60" s="382"/>
      <c r="AE60" s="382"/>
      <c r="AF60" s="382"/>
      <c r="AG60" s="382"/>
      <c r="AH60" s="382"/>
      <c r="AI60" s="382"/>
      <c r="AJ60" s="382"/>
      <c r="AK60" s="382"/>
      <c r="AL60" s="382"/>
      <c r="AM60" s="382"/>
      <c r="AN60" s="382"/>
      <c r="AO60" s="382"/>
    </row>
    <row r="61">
      <c r="A61" s="126" t="s">
        <v>225</v>
      </c>
      <c r="B61" s="410"/>
      <c r="C61" s="403"/>
      <c r="D61" s="403"/>
      <c r="E61" s="403"/>
      <c r="F61" s="403"/>
      <c r="G61" s="403"/>
      <c r="H61" s="403"/>
      <c r="I61" s="403"/>
      <c r="J61" s="403"/>
      <c r="K61" s="403"/>
      <c r="L61" s="403"/>
      <c r="M61" s="403"/>
      <c r="N61" s="403"/>
      <c r="O61" s="403"/>
      <c r="P61" s="403"/>
      <c r="Q61" s="403"/>
      <c r="R61" s="403"/>
      <c r="S61" s="403"/>
      <c r="T61" s="403"/>
      <c r="U61" s="403"/>
      <c r="V61" s="411"/>
      <c r="W61" s="403"/>
      <c r="X61" s="403"/>
      <c r="Y61" s="403"/>
      <c r="Z61" s="403"/>
      <c r="AA61" s="403"/>
      <c r="AB61" s="403"/>
      <c r="AC61" s="403"/>
      <c r="AD61" s="403"/>
      <c r="AE61" s="403"/>
      <c r="AF61" s="403"/>
      <c r="AG61" s="403"/>
      <c r="AH61" s="403"/>
      <c r="AI61" s="403"/>
      <c r="AJ61" s="403"/>
      <c r="AK61" s="403"/>
      <c r="AL61" s="403"/>
      <c r="AM61" s="403"/>
      <c r="AN61" s="403"/>
    </row>
    <row r="62">
      <c r="B62" s="138"/>
      <c r="F62" s="138"/>
      <c r="G62" s="138"/>
      <c r="H62" s="138"/>
      <c r="T62" s="31"/>
    </row>
    <row r="63">
      <c r="B63" s="138"/>
      <c r="F63" s="138"/>
      <c r="G63" s="138"/>
      <c r="H63" s="138"/>
      <c r="T63" s="31"/>
    </row>
    <row r="64">
      <c r="B64" s="138"/>
      <c r="F64" s="138"/>
      <c r="G64" s="138"/>
      <c r="H64" s="138"/>
      <c r="T64" s="31"/>
    </row>
    <row r="65">
      <c r="B65" s="138"/>
      <c r="F65" s="138"/>
      <c r="G65" s="138"/>
      <c r="H65" s="138"/>
      <c r="T65" s="31"/>
    </row>
    <row r="66">
      <c r="B66" s="138"/>
      <c r="F66" s="138"/>
      <c r="G66" s="138"/>
      <c r="H66" s="138"/>
      <c r="T66" s="31"/>
    </row>
    <row r="67">
      <c r="B67" s="138"/>
      <c r="F67" s="138"/>
      <c r="G67" s="138"/>
      <c r="H67" s="138"/>
      <c r="T67" s="31"/>
    </row>
    <row r="68">
      <c r="B68" s="138"/>
      <c r="F68" s="138"/>
      <c r="G68" s="138"/>
      <c r="H68" s="138"/>
      <c r="T68" s="31"/>
    </row>
    <row r="69">
      <c r="B69" s="138"/>
      <c r="F69" s="138"/>
      <c r="G69" s="138"/>
      <c r="H69" s="138"/>
      <c r="T69" s="31"/>
    </row>
    <row r="70">
      <c r="B70" s="138"/>
      <c r="F70" s="138"/>
      <c r="G70" s="138"/>
      <c r="H70" s="138"/>
      <c r="T70" s="31"/>
    </row>
    <row r="71">
      <c r="B71" s="138"/>
      <c r="F71" s="138"/>
      <c r="G71" s="138"/>
      <c r="H71" s="138"/>
      <c r="T71" s="31"/>
    </row>
    <row r="72">
      <c r="B72" s="138"/>
      <c r="F72" s="138"/>
      <c r="G72" s="138"/>
      <c r="H72" s="138"/>
      <c r="T72" s="31"/>
    </row>
    <row r="73">
      <c r="B73" s="138"/>
      <c r="F73" s="138"/>
      <c r="G73" s="138"/>
      <c r="H73" s="138"/>
      <c r="T73" s="31"/>
    </row>
    <row r="74">
      <c r="B74" s="138"/>
      <c r="F74" s="138"/>
      <c r="G74" s="138"/>
      <c r="H74" s="138"/>
      <c r="T74" s="31"/>
    </row>
    <row r="75">
      <c r="B75" s="138"/>
      <c r="F75" s="138"/>
      <c r="G75" s="138"/>
      <c r="H75" s="138"/>
      <c r="T75" s="31"/>
    </row>
    <row r="76">
      <c r="B76" s="138"/>
      <c r="F76" s="138"/>
      <c r="G76" s="138"/>
      <c r="H76" s="138"/>
      <c r="T76" s="31"/>
    </row>
    <row r="77">
      <c r="B77" s="138"/>
      <c r="F77" s="138"/>
      <c r="G77" s="138"/>
      <c r="H77" s="138"/>
      <c r="T77" s="31"/>
    </row>
    <row r="78">
      <c r="B78" s="138"/>
      <c r="F78" s="138"/>
      <c r="G78" s="138"/>
      <c r="H78" s="138"/>
      <c r="T78" s="31"/>
    </row>
    <row r="79">
      <c r="B79" s="138"/>
      <c r="F79" s="138"/>
      <c r="G79" s="138"/>
      <c r="H79" s="138"/>
      <c r="T79" s="31"/>
    </row>
    <row r="80">
      <c r="B80" s="138"/>
      <c r="F80" s="138"/>
      <c r="G80" s="138"/>
      <c r="H80" s="138"/>
      <c r="T80" s="31"/>
    </row>
    <row r="81">
      <c r="B81" s="138"/>
      <c r="F81" s="138"/>
      <c r="G81" s="138"/>
      <c r="H81" s="138"/>
      <c r="T81" s="31"/>
    </row>
    <row r="82">
      <c r="B82" s="138"/>
      <c r="F82" s="138"/>
      <c r="G82" s="138"/>
      <c r="H82" s="138"/>
      <c r="T82" s="31"/>
    </row>
    <row r="83">
      <c r="B83" s="138"/>
      <c r="F83" s="138"/>
      <c r="G83" s="138"/>
      <c r="H83" s="138"/>
      <c r="T83" s="31"/>
    </row>
    <row r="84">
      <c r="B84" s="138"/>
      <c r="F84" s="138"/>
      <c r="G84" s="138"/>
      <c r="H84" s="138"/>
      <c r="T84" s="31"/>
    </row>
    <row r="85">
      <c r="B85" s="138"/>
      <c r="F85" s="138"/>
      <c r="G85" s="138"/>
      <c r="H85" s="138"/>
      <c r="T85" s="31"/>
    </row>
    <row r="86">
      <c r="B86" s="138"/>
      <c r="F86" s="138"/>
      <c r="G86" s="138"/>
      <c r="H86" s="138"/>
      <c r="T86" s="31"/>
    </row>
    <row r="87">
      <c r="B87" s="138"/>
      <c r="F87" s="138"/>
      <c r="G87" s="138"/>
      <c r="H87" s="138"/>
      <c r="T87" s="31"/>
    </row>
    <row r="88">
      <c r="B88" s="138"/>
      <c r="F88" s="138"/>
      <c r="G88" s="138"/>
      <c r="H88" s="138"/>
      <c r="T88" s="31"/>
    </row>
    <row r="89">
      <c r="B89" s="138"/>
      <c r="F89" s="138"/>
      <c r="G89" s="138"/>
      <c r="H89" s="138"/>
      <c r="T89" s="31"/>
    </row>
    <row r="90">
      <c r="B90" s="138"/>
      <c r="F90" s="138"/>
      <c r="G90" s="138"/>
      <c r="H90" s="138"/>
      <c r="T90" s="31"/>
    </row>
    <row r="91">
      <c r="B91" s="138"/>
      <c r="F91" s="138"/>
      <c r="G91" s="138"/>
      <c r="H91" s="138"/>
      <c r="T91" s="31"/>
    </row>
    <row r="92">
      <c r="B92" s="138"/>
      <c r="F92" s="138"/>
      <c r="G92" s="138"/>
      <c r="H92" s="138"/>
      <c r="T92" s="31"/>
    </row>
    <row r="93">
      <c r="B93" s="138"/>
      <c r="F93" s="138"/>
      <c r="G93" s="138"/>
      <c r="H93" s="138"/>
      <c r="T93" s="31"/>
    </row>
    <row r="94">
      <c r="B94" s="138"/>
      <c r="F94" s="138"/>
      <c r="G94" s="138"/>
      <c r="H94" s="138"/>
      <c r="T94" s="31"/>
    </row>
    <row r="95">
      <c r="B95" s="138"/>
      <c r="F95" s="138"/>
      <c r="G95" s="138"/>
      <c r="H95" s="138"/>
      <c r="T95" s="31"/>
    </row>
    <row r="96">
      <c r="B96" s="138"/>
      <c r="F96" s="138"/>
      <c r="G96" s="138"/>
      <c r="H96" s="138"/>
      <c r="T96" s="31"/>
    </row>
    <row r="97">
      <c r="B97" s="138"/>
      <c r="F97" s="138"/>
      <c r="G97" s="138"/>
      <c r="H97" s="138"/>
      <c r="T97" s="31"/>
    </row>
    <row r="98">
      <c r="B98" s="138"/>
      <c r="F98" s="138"/>
      <c r="G98" s="138"/>
      <c r="H98" s="138"/>
      <c r="T98" s="31"/>
    </row>
    <row r="99">
      <c r="B99" s="138"/>
      <c r="F99" s="138"/>
      <c r="G99" s="138"/>
      <c r="H99" s="138"/>
      <c r="T99" s="31"/>
    </row>
    <row r="100">
      <c r="B100" s="138"/>
      <c r="F100" s="138"/>
      <c r="G100" s="138"/>
      <c r="H100" s="138"/>
      <c r="T100" s="31"/>
    </row>
    <row r="101">
      <c r="B101" s="138"/>
      <c r="F101" s="138"/>
      <c r="G101" s="138"/>
      <c r="H101" s="138"/>
      <c r="T101" s="31"/>
    </row>
    <row r="102">
      <c r="B102" s="138"/>
      <c r="F102" s="138"/>
      <c r="G102" s="138"/>
      <c r="H102" s="138"/>
      <c r="T102" s="31"/>
    </row>
    <row r="103">
      <c r="B103" s="138"/>
      <c r="F103" s="138"/>
      <c r="G103" s="138"/>
      <c r="H103" s="138"/>
      <c r="T103" s="31"/>
    </row>
    <row r="104">
      <c r="B104" s="138"/>
      <c r="F104" s="138"/>
      <c r="G104" s="138"/>
      <c r="H104" s="138"/>
      <c r="T104" s="31"/>
    </row>
    <row r="105">
      <c r="B105" s="138"/>
      <c r="F105" s="138"/>
      <c r="G105" s="138"/>
      <c r="H105" s="138"/>
      <c r="T105" s="31"/>
    </row>
    <row r="106">
      <c r="B106" s="138"/>
      <c r="F106" s="138"/>
      <c r="G106" s="138"/>
      <c r="H106" s="138"/>
      <c r="T106" s="31"/>
    </row>
    <row r="107">
      <c r="B107" s="138"/>
      <c r="F107" s="138"/>
      <c r="G107" s="138"/>
      <c r="H107" s="138"/>
      <c r="T107" s="31"/>
    </row>
    <row r="108">
      <c r="B108" s="138"/>
      <c r="F108" s="138"/>
      <c r="G108" s="138"/>
      <c r="H108" s="138"/>
      <c r="T108" s="31"/>
    </row>
    <row r="109">
      <c r="B109" s="138"/>
      <c r="F109" s="138"/>
      <c r="G109" s="138"/>
      <c r="H109" s="138"/>
      <c r="T109" s="31"/>
    </row>
    <row r="110">
      <c r="B110" s="138"/>
      <c r="F110" s="138"/>
      <c r="G110" s="138"/>
      <c r="H110" s="138"/>
      <c r="T110" s="31"/>
    </row>
    <row r="111">
      <c r="B111" s="138"/>
      <c r="F111" s="138"/>
      <c r="G111" s="138"/>
      <c r="H111" s="138"/>
      <c r="T111" s="31"/>
    </row>
    <row r="112">
      <c r="B112" s="138"/>
      <c r="F112" s="138"/>
      <c r="G112" s="138"/>
      <c r="H112" s="138"/>
      <c r="T112" s="31"/>
    </row>
    <row r="113">
      <c r="B113" s="138"/>
      <c r="F113" s="138"/>
      <c r="G113" s="138"/>
      <c r="H113" s="138"/>
      <c r="T113" s="31"/>
    </row>
    <row r="114">
      <c r="B114" s="138"/>
      <c r="F114" s="138"/>
      <c r="G114" s="138"/>
      <c r="H114" s="138"/>
      <c r="T114" s="31"/>
    </row>
    <row r="115">
      <c r="B115" s="138"/>
      <c r="F115" s="138"/>
      <c r="G115" s="138"/>
      <c r="H115" s="138"/>
      <c r="T115" s="31"/>
    </row>
    <row r="116">
      <c r="B116" s="138"/>
      <c r="F116" s="138"/>
      <c r="G116" s="138"/>
      <c r="H116" s="138"/>
      <c r="T116" s="31"/>
    </row>
    <row r="117">
      <c r="B117" s="138"/>
      <c r="F117" s="138"/>
      <c r="G117" s="138"/>
      <c r="H117" s="138"/>
      <c r="T117" s="31"/>
    </row>
    <row r="118">
      <c r="B118" s="138"/>
      <c r="F118" s="138"/>
      <c r="G118" s="138"/>
      <c r="H118" s="138"/>
      <c r="T118" s="31"/>
    </row>
    <row r="119">
      <c r="B119" s="138"/>
      <c r="F119" s="138"/>
      <c r="G119" s="138"/>
      <c r="H119" s="138"/>
      <c r="T119" s="31"/>
    </row>
    <row r="120">
      <c r="B120" s="138"/>
      <c r="F120" s="138"/>
      <c r="G120" s="138"/>
      <c r="H120" s="138"/>
      <c r="T120" s="31"/>
    </row>
    <row r="121">
      <c r="B121" s="138"/>
      <c r="F121" s="138"/>
      <c r="G121" s="138"/>
      <c r="H121" s="138"/>
      <c r="T121" s="31"/>
    </row>
    <row r="122">
      <c r="B122" s="138"/>
      <c r="F122" s="138"/>
      <c r="G122" s="138"/>
      <c r="H122" s="138"/>
      <c r="T122" s="31"/>
    </row>
    <row r="123">
      <c r="B123" s="138"/>
      <c r="F123" s="138"/>
      <c r="G123" s="138"/>
      <c r="H123" s="138"/>
      <c r="T123" s="31"/>
    </row>
    <row r="124">
      <c r="B124" s="138"/>
      <c r="F124" s="138"/>
      <c r="G124" s="138"/>
      <c r="H124" s="138"/>
      <c r="T124" s="31"/>
    </row>
    <row r="125">
      <c r="B125" s="138"/>
      <c r="F125" s="138"/>
      <c r="G125" s="138"/>
      <c r="H125" s="138"/>
      <c r="T125" s="31"/>
    </row>
    <row r="126">
      <c r="B126" s="138"/>
      <c r="F126" s="138"/>
      <c r="G126" s="138"/>
      <c r="H126" s="138"/>
      <c r="T126" s="31"/>
    </row>
    <row r="127">
      <c r="B127" s="138"/>
      <c r="F127" s="138"/>
      <c r="G127" s="138"/>
      <c r="H127" s="138"/>
      <c r="T127" s="31"/>
    </row>
    <row r="128">
      <c r="B128" s="138"/>
      <c r="F128" s="138"/>
      <c r="G128" s="138"/>
      <c r="H128" s="138"/>
      <c r="T128" s="31"/>
    </row>
    <row r="129">
      <c r="B129" s="138"/>
      <c r="F129" s="138"/>
      <c r="G129" s="138"/>
      <c r="H129" s="138"/>
      <c r="T129" s="31"/>
    </row>
    <row r="130">
      <c r="B130" s="138"/>
      <c r="F130" s="138"/>
      <c r="G130" s="138"/>
      <c r="H130" s="138"/>
      <c r="T130" s="31"/>
    </row>
    <row r="131">
      <c r="B131" s="138"/>
      <c r="F131" s="138"/>
      <c r="G131" s="138"/>
      <c r="H131" s="138"/>
      <c r="T131" s="31"/>
    </row>
    <row r="132">
      <c r="B132" s="138"/>
      <c r="F132" s="138"/>
      <c r="G132" s="138"/>
      <c r="H132" s="138"/>
      <c r="T132" s="31"/>
    </row>
    <row r="133">
      <c r="B133" s="138"/>
      <c r="F133" s="138"/>
      <c r="G133" s="138"/>
      <c r="H133" s="138"/>
      <c r="T133" s="31"/>
    </row>
    <row r="134">
      <c r="B134" s="138"/>
      <c r="F134" s="138"/>
      <c r="G134" s="138"/>
      <c r="H134" s="138"/>
      <c r="T134" s="31"/>
    </row>
    <row r="135">
      <c r="B135" s="138"/>
      <c r="F135" s="138"/>
      <c r="G135" s="138"/>
      <c r="H135" s="138"/>
      <c r="T135" s="31"/>
    </row>
    <row r="136">
      <c r="B136" s="138"/>
      <c r="F136" s="138"/>
      <c r="G136" s="138"/>
      <c r="H136" s="138"/>
      <c r="T136" s="31"/>
    </row>
    <row r="137">
      <c r="B137" s="138"/>
      <c r="F137" s="138"/>
      <c r="G137" s="138"/>
      <c r="H137" s="138"/>
      <c r="T137" s="31"/>
    </row>
    <row r="138">
      <c r="B138" s="138"/>
      <c r="F138" s="138"/>
      <c r="G138" s="138"/>
      <c r="H138" s="138"/>
      <c r="T138" s="31"/>
    </row>
    <row r="139">
      <c r="B139" s="138"/>
      <c r="F139" s="138"/>
      <c r="G139" s="138"/>
      <c r="H139" s="138"/>
      <c r="T139" s="31"/>
    </row>
    <row r="140">
      <c r="B140" s="138"/>
      <c r="F140" s="138"/>
      <c r="G140" s="138"/>
      <c r="H140" s="138"/>
      <c r="T140" s="31"/>
    </row>
    <row r="141">
      <c r="B141" s="138"/>
      <c r="F141" s="138"/>
      <c r="G141" s="138"/>
      <c r="H141" s="138"/>
      <c r="T141" s="31"/>
    </row>
    <row r="142">
      <c r="B142" s="138"/>
      <c r="F142" s="138"/>
      <c r="G142" s="138"/>
      <c r="H142" s="138"/>
      <c r="T142" s="31"/>
    </row>
    <row r="143">
      <c r="B143" s="138"/>
      <c r="F143" s="138"/>
      <c r="G143" s="138"/>
      <c r="H143" s="138"/>
      <c r="T143" s="31"/>
    </row>
    <row r="144">
      <c r="B144" s="138"/>
      <c r="F144" s="138"/>
      <c r="G144" s="138"/>
      <c r="H144" s="138"/>
      <c r="T144" s="31"/>
    </row>
    <row r="145">
      <c r="B145" s="138"/>
      <c r="F145" s="138"/>
      <c r="G145" s="138"/>
      <c r="H145" s="138"/>
      <c r="T145" s="31"/>
    </row>
    <row r="146">
      <c r="B146" s="138"/>
      <c r="F146" s="138"/>
      <c r="G146" s="138"/>
      <c r="H146" s="138"/>
      <c r="T146" s="31"/>
    </row>
    <row r="147">
      <c r="B147" s="138"/>
      <c r="F147" s="138"/>
      <c r="G147" s="138"/>
      <c r="H147" s="138"/>
      <c r="T147" s="31"/>
    </row>
    <row r="148">
      <c r="B148" s="138"/>
      <c r="F148" s="138"/>
      <c r="G148" s="138"/>
      <c r="H148" s="138"/>
      <c r="T148" s="31"/>
    </row>
    <row r="149">
      <c r="B149" s="138"/>
      <c r="F149" s="138"/>
      <c r="G149" s="138"/>
      <c r="H149" s="138"/>
      <c r="T149" s="31"/>
    </row>
    <row r="150">
      <c r="B150" s="138"/>
      <c r="F150" s="138"/>
      <c r="G150" s="138"/>
      <c r="H150" s="138"/>
      <c r="T150" s="31"/>
    </row>
    <row r="151">
      <c r="B151" s="138"/>
      <c r="F151" s="138"/>
      <c r="G151" s="138"/>
      <c r="H151" s="138"/>
      <c r="T151" s="31"/>
    </row>
    <row r="152">
      <c r="B152" s="138"/>
      <c r="F152" s="138"/>
      <c r="G152" s="138"/>
      <c r="H152" s="138"/>
      <c r="T152" s="31"/>
    </row>
    <row r="153">
      <c r="B153" s="138"/>
      <c r="F153" s="138"/>
      <c r="G153" s="138"/>
      <c r="H153" s="138"/>
      <c r="T153" s="31"/>
    </row>
    <row r="154">
      <c r="B154" s="138"/>
      <c r="F154" s="138"/>
      <c r="G154" s="138"/>
      <c r="H154" s="138"/>
      <c r="T154" s="31"/>
    </row>
    <row r="155">
      <c r="B155" s="138"/>
      <c r="F155" s="138"/>
      <c r="G155" s="138"/>
      <c r="H155" s="138"/>
      <c r="T155" s="31"/>
    </row>
    <row r="156">
      <c r="B156" s="138"/>
      <c r="F156" s="138"/>
      <c r="G156" s="138"/>
      <c r="H156" s="138"/>
      <c r="T156" s="31"/>
    </row>
    <row r="157">
      <c r="B157" s="138"/>
      <c r="F157" s="138"/>
      <c r="G157" s="138"/>
      <c r="H157" s="138"/>
      <c r="T157" s="31"/>
    </row>
    <row r="158">
      <c r="B158" s="138"/>
      <c r="F158" s="138"/>
      <c r="G158" s="138"/>
      <c r="H158" s="138"/>
      <c r="T158" s="31"/>
    </row>
    <row r="159">
      <c r="B159" s="138"/>
      <c r="F159" s="138"/>
      <c r="G159" s="138"/>
      <c r="H159" s="138"/>
      <c r="T159" s="31"/>
    </row>
    <row r="160">
      <c r="B160" s="138"/>
      <c r="F160" s="138"/>
      <c r="G160" s="138"/>
      <c r="H160" s="138"/>
      <c r="T160" s="31"/>
    </row>
    <row r="161">
      <c r="B161" s="138"/>
      <c r="F161" s="138"/>
      <c r="G161" s="138"/>
      <c r="H161" s="138"/>
      <c r="T161" s="31"/>
    </row>
    <row r="162">
      <c r="B162" s="138"/>
      <c r="F162" s="138"/>
      <c r="G162" s="138"/>
      <c r="H162" s="138"/>
      <c r="T162" s="31"/>
    </row>
    <row r="163">
      <c r="B163" s="138"/>
      <c r="F163" s="138"/>
      <c r="G163" s="138"/>
      <c r="H163" s="138"/>
      <c r="T163" s="31"/>
    </row>
    <row r="164">
      <c r="B164" s="138"/>
      <c r="F164" s="138"/>
      <c r="G164" s="138"/>
      <c r="H164" s="138"/>
      <c r="T164" s="31"/>
    </row>
    <row r="165">
      <c r="B165" s="138"/>
      <c r="F165" s="138"/>
      <c r="G165" s="138"/>
      <c r="H165" s="138"/>
      <c r="T165" s="31"/>
    </row>
    <row r="166">
      <c r="B166" s="138"/>
      <c r="F166" s="138"/>
      <c r="G166" s="138"/>
      <c r="H166" s="138"/>
      <c r="T166" s="31"/>
    </row>
    <row r="167">
      <c r="B167" s="138"/>
      <c r="F167" s="138"/>
      <c r="G167" s="138"/>
      <c r="H167" s="138"/>
      <c r="T167" s="31"/>
    </row>
    <row r="168">
      <c r="B168" s="138"/>
      <c r="F168" s="138"/>
      <c r="G168" s="138"/>
      <c r="H168" s="138"/>
      <c r="T168" s="31"/>
    </row>
    <row r="169">
      <c r="B169" s="138"/>
      <c r="F169" s="138"/>
      <c r="G169" s="138"/>
      <c r="H169" s="138"/>
      <c r="T169" s="31"/>
    </row>
    <row r="170">
      <c r="B170" s="138"/>
      <c r="F170" s="138"/>
      <c r="G170" s="138"/>
      <c r="H170" s="138"/>
      <c r="T170" s="31"/>
    </row>
    <row r="171">
      <c r="B171" s="138"/>
      <c r="F171" s="138"/>
      <c r="G171" s="138"/>
      <c r="H171" s="138"/>
      <c r="T171" s="31"/>
    </row>
    <row r="172">
      <c r="B172" s="138"/>
      <c r="F172" s="138"/>
      <c r="G172" s="138"/>
      <c r="H172" s="138"/>
      <c r="T172" s="31"/>
    </row>
    <row r="173">
      <c r="B173" s="138"/>
      <c r="F173" s="138"/>
      <c r="G173" s="138"/>
      <c r="H173" s="138"/>
      <c r="T173" s="31"/>
    </row>
    <row r="174">
      <c r="B174" s="138"/>
      <c r="F174" s="138"/>
      <c r="G174" s="138"/>
      <c r="H174" s="138"/>
      <c r="T174" s="31"/>
    </row>
    <row r="175">
      <c r="B175" s="138"/>
      <c r="F175" s="138"/>
      <c r="G175" s="138"/>
      <c r="H175" s="138"/>
      <c r="T175" s="31"/>
    </row>
    <row r="176">
      <c r="B176" s="138"/>
      <c r="F176" s="138"/>
      <c r="G176" s="138"/>
      <c r="H176" s="138"/>
      <c r="T176" s="31"/>
    </row>
    <row r="177">
      <c r="B177" s="138"/>
      <c r="F177" s="138"/>
      <c r="G177" s="138"/>
      <c r="H177" s="138"/>
      <c r="T177" s="31"/>
    </row>
    <row r="178">
      <c r="B178" s="138"/>
      <c r="F178" s="138"/>
      <c r="G178" s="138"/>
      <c r="H178" s="138"/>
      <c r="T178" s="31"/>
    </row>
    <row r="179">
      <c r="B179" s="138"/>
      <c r="F179" s="138"/>
      <c r="G179" s="138"/>
      <c r="H179" s="138"/>
      <c r="T179" s="31"/>
    </row>
    <row r="180">
      <c r="B180" s="138"/>
      <c r="F180" s="138"/>
      <c r="G180" s="138"/>
      <c r="H180" s="138"/>
      <c r="T180" s="31"/>
    </row>
    <row r="181">
      <c r="B181" s="138"/>
      <c r="F181" s="138"/>
      <c r="G181" s="138"/>
      <c r="H181" s="138"/>
      <c r="T181" s="31"/>
    </row>
    <row r="182">
      <c r="B182" s="138"/>
      <c r="F182" s="138"/>
      <c r="G182" s="138"/>
      <c r="H182" s="138"/>
      <c r="T182" s="31"/>
    </row>
    <row r="183">
      <c r="B183" s="138"/>
      <c r="F183" s="138"/>
      <c r="G183" s="138"/>
      <c r="H183" s="138"/>
      <c r="T183" s="31"/>
    </row>
    <row r="184">
      <c r="B184" s="138"/>
      <c r="F184" s="138"/>
      <c r="G184" s="138"/>
      <c r="H184" s="138"/>
      <c r="T184" s="31"/>
    </row>
    <row r="185">
      <c r="B185" s="138"/>
      <c r="F185" s="138"/>
      <c r="G185" s="138"/>
      <c r="H185" s="138"/>
      <c r="T185" s="31"/>
    </row>
    <row r="186">
      <c r="B186" s="138"/>
      <c r="F186" s="138"/>
      <c r="G186" s="138"/>
      <c r="H186" s="138"/>
      <c r="T186" s="31"/>
    </row>
    <row r="187">
      <c r="B187" s="138"/>
      <c r="F187" s="138"/>
      <c r="G187" s="138"/>
      <c r="H187" s="138"/>
      <c r="T187" s="31"/>
    </row>
    <row r="188">
      <c r="B188" s="138"/>
      <c r="F188" s="138"/>
      <c r="G188" s="138"/>
      <c r="H188" s="138"/>
      <c r="T188" s="31"/>
    </row>
    <row r="189">
      <c r="B189" s="138"/>
      <c r="F189" s="138"/>
      <c r="G189" s="138"/>
      <c r="H189" s="138"/>
      <c r="T189" s="31"/>
    </row>
    <row r="190">
      <c r="B190" s="138"/>
      <c r="F190" s="138"/>
      <c r="G190" s="138"/>
      <c r="H190" s="138"/>
      <c r="T190" s="31"/>
    </row>
    <row r="191">
      <c r="B191" s="138"/>
      <c r="F191" s="138"/>
      <c r="G191" s="138"/>
      <c r="H191" s="138"/>
      <c r="T191" s="31"/>
    </row>
    <row r="192">
      <c r="B192" s="138"/>
      <c r="F192" s="138"/>
      <c r="G192" s="138"/>
      <c r="H192" s="138"/>
      <c r="T192" s="31"/>
    </row>
    <row r="193">
      <c r="B193" s="138"/>
      <c r="F193" s="138"/>
      <c r="G193" s="138"/>
      <c r="H193" s="138"/>
      <c r="T193" s="31"/>
    </row>
    <row r="194">
      <c r="B194" s="138"/>
      <c r="F194" s="138"/>
      <c r="G194" s="138"/>
      <c r="H194" s="138"/>
      <c r="T194" s="31"/>
    </row>
    <row r="195">
      <c r="B195" s="138"/>
      <c r="F195" s="138"/>
      <c r="G195" s="138"/>
      <c r="H195" s="138"/>
      <c r="T195" s="31"/>
    </row>
    <row r="196">
      <c r="B196" s="138"/>
      <c r="F196" s="138"/>
      <c r="G196" s="138"/>
      <c r="H196" s="138"/>
      <c r="T196" s="31"/>
    </row>
    <row r="197">
      <c r="B197" s="138"/>
      <c r="F197" s="138"/>
      <c r="G197" s="138"/>
      <c r="H197" s="138"/>
      <c r="T197" s="31"/>
    </row>
    <row r="198">
      <c r="B198" s="138"/>
      <c r="F198" s="138"/>
      <c r="G198" s="138"/>
      <c r="H198" s="138"/>
      <c r="T198" s="31"/>
    </row>
    <row r="199">
      <c r="B199" s="138"/>
      <c r="F199" s="138"/>
      <c r="G199" s="138"/>
      <c r="H199" s="138"/>
      <c r="T199" s="31"/>
    </row>
    <row r="200">
      <c r="B200" s="138"/>
      <c r="F200" s="138"/>
      <c r="G200" s="138"/>
      <c r="H200" s="138"/>
      <c r="T200" s="31"/>
    </row>
    <row r="201">
      <c r="B201" s="138"/>
      <c r="F201" s="138"/>
      <c r="G201" s="138"/>
      <c r="H201" s="138"/>
      <c r="T201" s="31"/>
    </row>
    <row r="202">
      <c r="B202" s="138"/>
      <c r="F202" s="138"/>
      <c r="G202" s="138"/>
      <c r="H202" s="138"/>
      <c r="T202" s="31"/>
    </row>
    <row r="203">
      <c r="B203" s="138"/>
      <c r="F203" s="138"/>
      <c r="G203" s="138"/>
      <c r="H203" s="138"/>
      <c r="T203" s="31"/>
    </row>
    <row r="204">
      <c r="B204" s="138"/>
      <c r="F204" s="138"/>
      <c r="G204" s="138"/>
      <c r="H204" s="138"/>
      <c r="T204" s="31"/>
    </row>
    <row r="205">
      <c r="B205" s="138"/>
      <c r="F205" s="138"/>
      <c r="G205" s="138"/>
      <c r="H205" s="138"/>
      <c r="T205" s="31"/>
    </row>
    <row r="206">
      <c r="B206" s="138"/>
      <c r="F206" s="138"/>
      <c r="G206" s="138"/>
      <c r="H206" s="138"/>
      <c r="T206" s="31"/>
    </row>
    <row r="207">
      <c r="B207" s="138"/>
      <c r="F207" s="138"/>
      <c r="G207" s="138"/>
      <c r="H207" s="138"/>
      <c r="T207" s="31"/>
    </row>
    <row r="208">
      <c r="B208" s="138"/>
      <c r="F208" s="138"/>
      <c r="G208" s="138"/>
      <c r="H208" s="138"/>
      <c r="T208" s="31"/>
    </row>
    <row r="209">
      <c r="B209" s="138"/>
      <c r="F209" s="138"/>
      <c r="G209" s="138"/>
      <c r="H209" s="138"/>
      <c r="T209" s="31"/>
    </row>
    <row r="210">
      <c r="B210" s="138"/>
      <c r="F210" s="138"/>
      <c r="G210" s="138"/>
      <c r="H210" s="138"/>
      <c r="T210" s="31"/>
    </row>
    <row r="211">
      <c r="B211" s="138"/>
      <c r="F211" s="138"/>
      <c r="G211" s="138"/>
      <c r="H211" s="138"/>
      <c r="T211" s="31"/>
    </row>
    <row r="212">
      <c r="B212" s="138"/>
      <c r="F212" s="138"/>
      <c r="G212" s="138"/>
      <c r="H212" s="138"/>
      <c r="T212" s="31"/>
    </row>
    <row r="213">
      <c r="B213" s="138"/>
      <c r="F213" s="138"/>
      <c r="G213" s="138"/>
      <c r="H213" s="138"/>
      <c r="T213" s="31"/>
    </row>
    <row r="214">
      <c r="B214" s="138"/>
      <c r="F214" s="138"/>
      <c r="G214" s="138"/>
      <c r="H214" s="138"/>
      <c r="T214" s="31"/>
    </row>
    <row r="215">
      <c r="B215" s="138"/>
      <c r="F215" s="138"/>
      <c r="G215" s="138"/>
      <c r="H215" s="138"/>
      <c r="T215" s="31"/>
    </row>
    <row r="216">
      <c r="B216" s="138"/>
      <c r="F216" s="138"/>
      <c r="G216" s="138"/>
      <c r="H216" s="138"/>
      <c r="T216" s="31"/>
    </row>
    <row r="217">
      <c r="B217" s="138"/>
      <c r="F217" s="138"/>
      <c r="G217" s="138"/>
      <c r="H217" s="138"/>
      <c r="T217" s="31"/>
    </row>
    <row r="218">
      <c r="B218" s="138"/>
      <c r="F218" s="138"/>
      <c r="G218" s="138"/>
      <c r="H218" s="138"/>
      <c r="T218" s="31"/>
    </row>
    <row r="219">
      <c r="B219" s="138"/>
      <c r="F219" s="138"/>
      <c r="G219" s="138"/>
      <c r="H219" s="138"/>
      <c r="T219" s="31"/>
    </row>
    <row r="220">
      <c r="B220" s="138"/>
      <c r="F220" s="138"/>
      <c r="G220" s="138"/>
      <c r="H220" s="138"/>
      <c r="T220" s="31"/>
    </row>
    <row r="221">
      <c r="B221" s="138"/>
      <c r="F221" s="138"/>
      <c r="G221" s="138"/>
      <c r="H221" s="138"/>
      <c r="T221" s="31"/>
    </row>
    <row r="222">
      <c r="B222" s="138"/>
      <c r="F222" s="138"/>
      <c r="G222" s="138"/>
      <c r="H222" s="138"/>
      <c r="T222" s="31"/>
    </row>
    <row r="223">
      <c r="B223" s="138"/>
      <c r="F223" s="138"/>
      <c r="G223" s="138"/>
      <c r="H223" s="138"/>
      <c r="T223" s="31"/>
    </row>
    <row r="224">
      <c r="B224" s="138"/>
      <c r="F224" s="138"/>
      <c r="G224" s="138"/>
      <c r="H224" s="138"/>
      <c r="T224" s="31"/>
    </row>
    <row r="225">
      <c r="B225" s="138"/>
      <c r="F225" s="138"/>
      <c r="G225" s="138"/>
      <c r="H225" s="138"/>
      <c r="T225" s="31"/>
    </row>
    <row r="226">
      <c r="B226" s="138"/>
      <c r="F226" s="138"/>
      <c r="G226" s="138"/>
      <c r="H226" s="138"/>
      <c r="T226" s="31"/>
    </row>
    <row r="227">
      <c r="B227" s="138"/>
      <c r="F227" s="138"/>
      <c r="G227" s="138"/>
      <c r="H227" s="138"/>
      <c r="T227" s="31"/>
    </row>
    <row r="228">
      <c r="B228" s="138"/>
      <c r="F228" s="138"/>
      <c r="G228" s="138"/>
      <c r="H228" s="138"/>
      <c r="T228" s="31"/>
    </row>
    <row r="229">
      <c r="B229" s="138"/>
      <c r="F229" s="138"/>
      <c r="G229" s="138"/>
      <c r="H229" s="138"/>
      <c r="T229" s="31"/>
    </row>
    <row r="230">
      <c r="B230" s="138"/>
      <c r="F230" s="138"/>
      <c r="G230" s="138"/>
      <c r="H230" s="138"/>
      <c r="T230" s="31"/>
    </row>
    <row r="231">
      <c r="B231" s="138"/>
      <c r="F231" s="138"/>
      <c r="G231" s="138"/>
      <c r="H231" s="138"/>
      <c r="T231" s="31"/>
    </row>
    <row r="232">
      <c r="B232" s="138"/>
      <c r="F232" s="138"/>
      <c r="G232" s="138"/>
      <c r="H232" s="138"/>
      <c r="T232" s="31"/>
    </row>
    <row r="233">
      <c r="B233" s="138"/>
      <c r="F233" s="138"/>
      <c r="G233" s="138"/>
      <c r="H233" s="138"/>
      <c r="T233" s="31"/>
    </row>
    <row r="234">
      <c r="B234" s="138"/>
      <c r="F234" s="138"/>
      <c r="G234" s="138"/>
      <c r="H234" s="138"/>
      <c r="T234" s="31"/>
    </row>
    <row r="235">
      <c r="B235" s="138"/>
      <c r="F235" s="138"/>
      <c r="G235" s="138"/>
      <c r="H235" s="138"/>
      <c r="T235" s="31"/>
    </row>
    <row r="236">
      <c r="B236" s="138"/>
      <c r="F236" s="138"/>
      <c r="G236" s="138"/>
      <c r="H236" s="138"/>
      <c r="T236" s="31"/>
    </row>
    <row r="237">
      <c r="B237" s="138"/>
      <c r="F237" s="138"/>
      <c r="G237" s="138"/>
      <c r="H237" s="138"/>
      <c r="T237" s="31"/>
    </row>
    <row r="238">
      <c r="B238" s="138"/>
      <c r="F238" s="138"/>
      <c r="G238" s="138"/>
      <c r="H238" s="138"/>
      <c r="T238" s="31"/>
    </row>
    <row r="239">
      <c r="B239" s="138"/>
      <c r="F239" s="138"/>
      <c r="G239" s="138"/>
      <c r="H239" s="138"/>
      <c r="T239" s="31"/>
    </row>
    <row r="240">
      <c r="B240" s="138"/>
      <c r="F240" s="138"/>
      <c r="G240" s="138"/>
      <c r="H240" s="138"/>
      <c r="T240" s="31"/>
    </row>
    <row r="241">
      <c r="B241" s="138"/>
      <c r="F241" s="138"/>
      <c r="G241" s="138"/>
      <c r="H241" s="138"/>
      <c r="T241" s="31"/>
    </row>
    <row r="242">
      <c r="B242" s="138"/>
      <c r="F242" s="138"/>
      <c r="G242" s="138"/>
      <c r="H242" s="138"/>
      <c r="T242" s="31"/>
    </row>
    <row r="243">
      <c r="B243" s="138"/>
      <c r="F243" s="138"/>
      <c r="G243" s="138"/>
      <c r="H243" s="138"/>
      <c r="T243" s="31"/>
    </row>
    <row r="244">
      <c r="B244" s="138"/>
      <c r="F244" s="138"/>
      <c r="G244" s="138"/>
      <c r="H244" s="138"/>
      <c r="T244" s="31"/>
    </row>
    <row r="245">
      <c r="B245" s="138"/>
      <c r="F245" s="138"/>
      <c r="G245" s="138"/>
      <c r="H245" s="138"/>
      <c r="T245" s="31"/>
    </row>
    <row r="246">
      <c r="B246" s="138"/>
      <c r="F246" s="138"/>
      <c r="G246" s="138"/>
      <c r="H246" s="138"/>
      <c r="T246" s="31"/>
    </row>
    <row r="247">
      <c r="B247" s="138"/>
      <c r="F247" s="138"/>
      <c r="G247" s="138"/>
      <c r="H247" s="138"/>
      <c r="T247" s="31"/>
    </row>
    <row r="248">
      <c r="B248" s="138"/>
      <c r="F248" s="138"/>
      <c r="G248" s="138"/>
      <c r="H248" s="138"/>
      <c r="T248" s="31"/>
    </row>
    <row r="249">
      <c r="B249" s="138"/>
      <c r="F249" s="138"/>
      <c r="G249" s="138"/>
      <c r="H249" s="138"/>
      <c r="T249" s="31"/>
    </row>
    <row r="250">
      <c r="B250" s="138"/>
      <c r="F250" s="138"/>
      <c r="G250" s="138"/>
      <c r="H250" s="138"/>
      <c r="T250" s="31"/>
    </row>
    <row r="251">
      <c r="B251" s="138"/>
      <c r="F251" s="138"/>
      <c r="G251" s="138"/>
      <c r="H251" s="138"/>
      <c r="T251" s="31"/>
    </row>
    <row r="252">
      <c r="B252" s="138"/>
      <c r="F252" s="138"/>
      <c r="G252" s="138"/>
      <c r="H252" s="138"/>
      <c r="T252" s="31"/>
    </row>
    <row r="253">
      <c r="B253" s="138"/>
      <c r="F253" s="138"/>
      <c r="G253" s="138"/>
      <c r="H253" s="138"/>
      <c r="T253" s="31"/>
    </row>
    <row r="254">
      <c r="B254" s="138"/>
      <c r="F254" s="138"/>
      <c r="G254" s="138"/>
      <c r="H254" s="138"/>
      <c r="T254" s="31"/>
    </row>
    <row r="255">
      <c r="B255" s="138"/>
      <c r="F255" s="138"/>
      <c r="G255" s="138"/>
      <c r="H255" s="138"/>
      <c r="T255" s="31"/>
    </row>
    <row r="256">
      <c r="B256" s="138"/>
      <c r="F256" s="138"/>
      <c r="G256" s="138"/>
      <c r="H256" s="138"/>
      <c r="T256" s="31"/>
    </row>
    <row r="257">
      <c r="B257" s="138"/>
      <c r="F257" s="138"/>
      <c r="G257" s="138"/>
      <c r="H257" s="138"/>
      <c r="T257" s="31"/>
    </row>
    <row r="258">
      <c r="B258" s="138"/>
      <c r="F258" s="138"/>
      <c r="G258" s="138"/>
      <c r="H258" s="138"/>
      <c r="T258" s="31"/>
    </row>
    <row r="259">
      <c r="B259" s="138"/>
      <c r="F259" s="138"/>
      <c r="G259" s="138"/>
      <c r="H259" s="138"/>
      <c r="T259" s="31"/>
    </row>
    <row r="260">
      <c r="B260" s="138"/>
      <c r="F260" s="138"/>
      <c r="G260" s="138"/>
      <c r="H260" s="138"/>
      <c r="T260" s="31"/>
    </row>
    <row r="261">
      <c r="B261" s="138"/>
      <c r="F261" s="138"/>
      <c r="G261" s="138"/>
      <c r="H261" s="138"/>
      <c r="T261" s="31"/>
    </row>
    <row r="262">
      <c r="B262" s="138"/>
      <c r="F262" s="138"/>
      <c r="G262" s="138"/>
      <c r="H262" s="138"/>
      <c r="T262" s="31"/>
    </row>
    <row r="263">
      <c r="B263" s="138"/>
      <c r="F263" s="138"/>
      <c r="G263" s="138"/>
      <c r="H263" s="138"/>
      <c r="T263" s="31"/>
    </row>
    <row r="264">
      <c r="B264" s="138"/>
      <c r="F264" s="138"/>
      <c r="G264" s="138"/>
      <c r="H264" s="138"/>
      <c r="T264" s="31"/>
    </row>
    <row r="265">
      <c r="B265" s="138"/>
      <c r="F265" s="138"/>
      <c r="G265" s="138"/>
      <c r="H265" s="138"/>
      <c r="T265" s="31"/>
    </row>
    <row r="266">
      <c r="B266" s="138"/>
      <c r="F266" s="138"/>
      <c r="G266" s="138"/>
      <c r="H266" s="138"/>
      <c r="T266" s="31"/>
    </row>
    <row r="267">
      <c r="B267" s="138"/>
      <c r="F267" s="138"/>
      <c r="G267" s="138"/>
      <c r="H267" s="138"/>
      <c r="T267" s="31"/>
    </row>
    <row r="268">
      <c r="B268" s="138"/>
      <c r="F268" s="138"/>
      <c r="G268" s="138"/>
      <c r="H268" s="138"/>
      <c r="T268" s="31"/>
    </row>
    <row r="269">
      <c r="B269" s="138"/>
      <c r="F269" s="138"/>
      <c r="G269" s="138"/>
      <c r="H269" s="138"/>
      <c r="T269" s="31"/>
    </row>
    <row r="270">
      <c r="B270" s="138"/>
      <c r="F270" s="138"/>
      <c r="G270" s="138"/>
      <c r="H270" s="138"/>
      <c r="T270" s="31"/>
    </row>
    <row r="271">
      <c r="B271" s="138"/>
      <c r="F271" s="138"/>
      <c r="G271" s="138"/>
      <c r="H271" s="138"/>
      <c r="T271" s="31"/>
    </row>
    <row r="272">
      <c r="B272" s="138"/>
      <c r="F272" s="138"/>
      <c r="G272" s="138"/>
      <c r="H272" s="138"/>
      <c r="T272" s="31"/>
    </row>
    <row r="273">
      <c r="B273" s="138"/>
      <c r="F273" s="138"/>
      <c r="G273" s="138"/>
      <c r="H273" s="138"/>
      <c r="T273" s="31"/>
    </row>
    <row r="274">
      <c r="B274" s="138"/>
      <c r="F274" s="138"/>
      <c r="G274" s="138"/>
      <c r="H274" s="138"/>
      <c r="T274" s="31"/>
    </row>
    <row r="275">
      <c r="B275" s="138"/>
      <c r="F275" s="138"/>
      <c r="G275" s="138"/>
      <c r="H275" s="138"/>
      <c r="T275" s="31"/>
    </row>
    <row r="276">
      <c r="B276" s="138"/>
      <c r="F276" s="138"/>
      <c r="G276" s="138"/>
      <c r="H276" s="138"/>
      <c r="T276" s="31"/>
    </row>
    <row r="277">
      <c r="B277" s="138"/>
      <c r="F277" s="138"/>
      <c r="G277" s="138"/>
      <c r="H277" s="138"/>
      <c r="T277" s="31"/>
    </row>
    <row r="278">
      <c r="B278" s="138"/>
      <c r="F278" s="138"/>
      <c r="G278" s="138"/>
      <c r="H278" s="138"/>
      <c r="T278" s="31"/>
    </row>
    <row r="279">
      <c r="B279" s="138"/>
      <c r="F279" s="138"/>
      <c r="G279" s="138"/>
      <c r="H279" s="138"/>
      <c r="T279" s="31"/>
    </row>
    <row r="280">
      <c r="B280" s="138"/>
      <c r="F280" s="138"/>
      <c r="G280" s="138"/>
      <c r="H280" s="138"/>
      <c r="T280" s="31"/>
    </row>
    <row r="281">
      <c r="B281" s="138"/>
      <c r="F281" s="138"/>
      <c r="G281" s="138"/>
      <c r="H281" s="138"/>
      <c r="T281" s="31"/>
    </row>
    <row r="282">
      <c r="B282" s="138"/>
      <c r="F282" s="138"/>
      <c r="G282" s="138"/>
      <c r="H282" s="138"/>
      <c r="T282" s="31"/>
    </row>
    <row r="283">
      <c r="B283" s="138"/>
      <c r="F283" s="138"/>
      <c r="G283" s="138"/>
      <c r="H283" s="138"/>
      <c r="T283" s="31"/>
    </row>
    <row r="284">
      <c r="B284" s="138"/>
      <c r="F284" s="138"/>
      <c r="G284" s="138"/>
      <c r="H284" s="138"/>
      <c r="T284" s="31"/>
    </row>
    <row r="285">
      <c r="B285" s="138"/>
      <c r="F285" s="138"/>
      <c r="G285" s="138"/>
      <c r="H285" s="138"/>
      <c r="T285" s="31"/>
    </row>
    <row r="286">
      <c r="B286" s="138"/>
      <c r="F286" s="138"/>
      <c r="G286" s="138"/>
      <c r="H286" s="138"/>
      <c r="T286" s="31"/>
    </row>
    <row r="287">
      <c r="B287" s="138"/>
      <c r="F287" s="138"/>
      <c r="G287" s="138"/>
      <c r="H287" s="138"/>
      <c r="T287" s="31"/>
    </row>
    <row r="288">
      <c r="B288" s="138"/>
      <c r="F288" s="138"/>
      <c r="G288" s="138"/>
      <c r="H288" s="138"/>
      <c r="T288" s="31"/>
    </row>
    <row r="289">
      <c r="B289" s="138"/>
      <c r="F289" s="138"/>
      <c r="G289" s="138"/>
      <c r="H289" s="138"/>
      <c r="T289" s="31"/>
    </row>
    <row r="290">
      <c r="B290" s="138"/>
      <c r="F290" s="138"/>
      <c r="G290" s="138"/>
      <c r="H290" s="138"/>
      <c r="T290" s="31"/>
    </row>
    <row r="291">
      <c r="B291" s="138"/>
      <c r="F291" s="138"/>
      <c r="G291" s="138"/>
      <c r="H291" s="138"/>
      <c r="T291" s="31"/>
    </row>
    <row r="292">
      <c r="B292" s="138"/>
      <c r="F292" s="138"/>
      <c r="G292" s="138"/>
      <c r="H292" s="138"/>
      <c r="T292" s="31"/>
    </row>
    <row r="293">
      <c r="B293" s="138"/>
      <c r="F293" s="138"/>
      <c r="G293" s="138"/>
      <c r="H293" s="138"/>
      <c r="T293" s="31"/>
    </row>
    <row r="294">
      <c r="B294" s="138"/>
      <c r="F294" s="138"/>
      <c r="G294" s="138"/>
      <c r="H294" s="138"/>
      <c r="T294" s="31"/>
    </row>
    <row r="295">
      <c r="B295" s="138"/>
      <c r="F295" s="138"/>
      <c r="G295" s="138"/>
      <c r="H295" s="138"/>
      <c r="T295" s="31"/>
    </row>
    <row r="296">
      <c r="B296" s="138"/>
      <c r="F296" s="138"/>
      <c r="G296" s="138"/>
      <c r="H296" s="138"/>
      <c r="T296" s="31"/>
    </row>
    <row r="297">
      <c r="B297" s="138"/>
      <c r="F297" s="138"/>
      <c r="G297" s="138"/>
      <c r="H297" s="138"/>
      <c r="T297" s="31"/>
    </row>
    <row r="298">
      <c r="B298" s="138"/>
      <c r="F298" s="138"/>
      <c r="G298" s="138"/>
      <c r="H298" s="138"/>
      <c r="T298" s="31"/>
    </row>
    <row r="299">
      <c r="B299" s="138"/>
      <c r="F299" s="138"/>
      <c r="G299" s="138"/>
      <c r="H299" s="138"/>
      <c r="T299" s="31"/>
    </row>
    <row r="300">
      <c r="B300" s="138"/>
      <c r="F300" s="138"/>
      <c r="G300" s="138"/>
      <c r="H300" s="138"/>
      <c r="T300" s="31"/>
    </row>
    <row r="301">
      <c r="B301" s="138"/>
      <c r="F301" s="138"/>
      <c r="G301" s="138"/>
      <c r="H301" s="138"/>
      <c r="T301" s="31"/>
    </row>
    <row r="302">
      <c r="B302" s="138"/>
      <c r="F302" s="138"/>
      <c r="G302" s="138"/>
      <c r="H302" s="138"/>
      <c r="T302" s="31"/>
    </row>
    <row r="303">
      <c r="B303" s="138"/>
      <c r="F303" s="138"/>
      <c r="G303" s="138"/>
      <c r="H303" s="138"/>
      <c r="T303" s="31"/>
    </row>
    <row r="304">
      <c r="B304" s="138"/>
      <c r="F304" s="138"/>
      <c r="G304" s="138"/>
      <c r="H304" s="138"/>
      <c r="T304" s="31"/>
    </row>
    <row r="305">
      <c r="B305" s="138"/>
      <c r="F305" s="138"/>
      <c r="G305" s="138"/>
      <c r="H305" s="138"/>
      <c r="T305" s="31"/>
    </row>
    <row r="306">
      <c r="B306" s="138"/>
      <c r="F306" s="138"/>
      <c r="G306" s="138"/>
      <c r="H306" s="138"/>
      <c r="T306" s="31"/>
    </row>
    <row r="307">
      <c r="B307" s="138"/>
      <c r="F307" s="138"/>
      <c r="G307" s="138"/>
      <c r="H307" s="138"/>
      <c r="T307" s="31"/>
    </row>
    <row r="308">
      <c r="B308" s="138"/>
      <c r="F308" s="138"/>
      <c r="G308" s="138"/>
      <c r="H308" s="138"/>
      <c r="T308" s="31"/>
    </row>
    <row r="309">
      <c r="B309" s="138"/>
      <c r="F309" s="138"/>
      <c r="G309" s="138"/>
      <c r="H309" s="138"/>
      <c r="T309" s="31"/>
    </row>
    <row r="310">
      <c r="B310" s="138"/>
      <c r="F310" s="138"/>
      <c r="G310" s="138"/>
      <c r="H310" s="138"/>
      <c r="T310" s="31"/>
    </row>
    <row r="311">
      <c r="B311" s="138"/>
      <c r="F311" s="138"/>
      <c r="G311" s="138"/>
      <c r="H311" s="138"/>
      <c r="T311" s="31"/>
    </row>
    <row r="312">
      <c r="B312" s="138"/>
      <c r="F312" s="138"/>
      <c r="G312" s="138"/>
      <c r="H312" s="138"/>
      <c r="T312" s="31"/>
    </row>
    <row r="313">
      <c r="B313" s="138"/>
      <c r="F313" s="138"/>
      <c r="G313" s="138"/>
      <c r="H313" s="138"/>
      <c r="T313" s="31"/>
    </row>
    <row r="314">
      <c r="B314" s="138"/>
      <c r="F314" s="138"/>
      <c r="G314" s="138"/>
      <c r="H314" s="138"/>
      <c r="T314" s="31"/>
    </row>
    <row r="315">
      <c r="B315" s="138"/>
      <c r="F315" s="138"/>
      <c r="G315" s="138"/>
      <c r="H315" s="138"/>
      <c r="T315" s="31"/>
    </row>
    <row r="316">
      <c r="B316" s="138"/>
      <c r="F316" s="138"/>
      <c r="G316" s="138"/>
      <c r="H316" s="138"/>
      <c r="T316" s="31"/>
    </row>
    <row r="317">
      <c r="B317" s="138"/>
      <c r="F317" s="138"/>
      <c r="G317" s="138"/>
      <c r="H317" s="138"/>
      <c r="T317" s="31"/>
    </row>
    <row r="318">
      <c r="B318" s="138"/>
      <c r="F318" s="138"/>
      <c r="G318" s="138"/>
      <c r="H318" s="138"/>
      <c r="T318" s="31"/>
    </row>
    <row r="319">
      <c r="B319" s="138"/>
      <c r="F319" s="138"/>
      <c r="G319" s="138"/>
      <c r="H319" s="138"/>
      <c r="T319" s="31"/>
    </row>
    <row r="320">
      <c r="B320" s="138"/>
      <c r="F320" s="138"/>
      <c r="G320" s="138"/>
      <c r="H320" s="138"/>
      <c r="T320" s="31"/>
    </row>
    <row r="321">
      <c r="B321" s="138"/>
      <c r="F321" s="138"/>
      <c r="G321" s="138"/>
      <c r="H321" s="138"/>
      <c r="T321" s="31"/>
    </row>
    <row r="322">
      <c r="B322" s="138"/>
      <c r="F322" s="138"/>
      <c r="G322" s="138"/>
      <c r="H322" s="138"/>
      <c r="T322" s="31"/>
    </row>
    <row r="323">
      <c r="B323" s="138"/>
      <c r="F323" s="138"/>
      <c r="G323" s="138"/>
      <c r="H323" s="138"/>
      <c r="T323" s="31"/>
    </row>
    <row r="324">
      <c r="B324" s="138"/>
      <c r="F324" s="138"/>
      <c r="G324" s="138"/>
      <c r="H324" s="138"/>
      <c r="T324" s="31"/>
    </row>
    <row r="325">
      <c r="B325" s="138"/>
      <c r="F325" s="138"/>
      <c r="G325" s="138"/>
      <c r="H325" s="138"/>
      <c r="T325" s="31"/>
    </row>
    <row r="326">
      <c r="B326" s="138"/>
      <c r="F326" s="138"/>
      <c r="G326" s="138"/>
      <c r="H326" s="138"/>
      <c r="T326" s="31"/>
    </row>
    <row r="327">
      <c r="B327" s="138"/>
      <c r="F327" s="138"/>
      <c r="G327" s="138"/>
      <c r="H327" s="138"/>
      <c r="T327" s="31"/>
    </row>
    <row r="328">
      <c r="B328" s="138"/>
      <c r="F328" s="138"/>
      <c r="G328" s="138"/>
      <c r="H328" s="138"/>
      <c r="T328" s="31"/>
    </row>
    <row r="329">
      <c r="B329" s="138"/>
      <c r="F329" s="138"/>
      <c r="G329" s="138"/>
      <c r="H329" s="138"/>
      <c r="T329" s="31"/>
    </row>
    <row r="330">
      <c r="B330" s="138"/>
      <c r="F330" s="138"/>
      <c r="G330" s="138"/>
      <c r="H330" s="138"/>
      <c r="T330" s="31"/>
    </row>
    <row r="331">
      <c r="B331" s="138"/>
      <c r="F331" s="138"/>
      <c r="G331" s="138"/>
      <c r="H331" s="138"/>
      <c r="T331" s="31"/>
    </row>
    <row r="332">
      <c r="B332" s="138"/>
      <c r="F332" s="138"/>
      <c r="G332" s="138"/>
      <c r="H332" s="138"/>
      <c r="T332" s="31"/>
    </row>
    <row r="333">
      <c r="B333" s="138"/>
      <c r="F333" s="138"/>
      <c r="G333" s="138"/>
      <c r="H333" s="138"/>
      <c r="T333" s="31"/>
    </row>
    <row r="334">
      <c r="B334" s="138"/>
      <c r="F334" s="138"/>
      <c r="G334" s="138"/>
      <c r="H334" s="138"/>
      <c r="T334" s="31"/>
    </row>
    <row r="335">
      <c r="B335" s="138"/>
      <c r="F335" s="138"/>
      <c r="G335" s="138"/>
      <c r="H335" s="138"/>
      <c r="T335" s="31"/>
    </row>
    <row r="336">
      <c r="B336" s="138"/>
      <c r="F336" s="138"/>
      <c r="G336" s="138"/>
      <c r="H336" s="138"/>
      <c r="T336" s="31"/>
    </row>
    <row r="337">
      <c r="B337" s="138"/>
      <c r="F337" s="138"/>
      <c r="G337" s="138"/>
      <c r="H337" s="138"/>
      <c r="T337" s="31"/>
    </row>
    <row r="338">
      <c r="B338" s="138"/>
      <c r="F338" s="138"/>
      <c r="G338" s="138"/>
      <c r="H338" s="138"/>
      <c r="T338" s="31"/>
    </row>
    <row r="339">
      <c r="B339" s="138"/>
      <c r="F339" s="138"/>
      <c r="G339" s="138"/>
      <c r="H339" s="138"/>
      <c r="T339" s="31"/>
    </row>
    <row r="340">
      <c r="B340" s="138"/>
      <c r="F340" s="138"/>
      <c r="G340" s="138"/>
      <c r="H340" s="138"/>
      <c r="T340" s="31"/>
    </row>
    <row r="341">
      <c r="B341" s="138"/>
      <c r="F341" s="138"/>
      <c r="G341" s="138"/>
      <c r="H341" s="138"/>
      <c r="T341" s="31"/>
    </row>
    <row r="342">
      <c r="B342" s="138"/>
      <c r="F342" s="138"/>
      <c r="G342" s="138"/>
      <c r="H342" s="138"/>
      <c r="T342" s="31"/>
    </row>
    <row r="343">
      <c r="B343" s="138"/>
      <c r="F343" s="138"/>
      <c r="G343" s="138"/>
      <c r="H343" s="138"/>
      <c r="T343" s="31"/>
    </row>
    <row r="344">
      <c r="B344" s="138"/>
      <c r="F344" s="138"/>
      <c r="G344" s="138"/>
      <c r="H344" s="138"/>
      <c r="T344" s="31"/>
    </row>
    <row r="345">
      <c r="B345" s="138"/>
      <c r="F345" s="138"/>
      <c r="G345" s="138"/>
      <c r="H345" s="138"/>
      <c r="T345" s="31"/>
    </row>
    <row r="346">
      <c r="B346" s="138"/>
      <c r="F346" s="138"/>
      <c r="G346" s="138"/>
      <c r="H346" s="138"/>
      <c r="T346" s="31"/>
    </row>
    <row r="347">
      <c r="B347" s="138"/>
      <c r="F347" s="138"/>
      <c r="G347" s="138"/>
      <c r="H347" s="138"/>
      <c r="T347" s="31"/>
    </row>
    <row r="348">
      <c r="B348" s="138"/>
      <c r="F348" s="138"/>
      <c r="G348" s="138"/>
      <c r="H348" s="138"/>
      <c r="T348" s="31"/>
    </row>
    <row r="349">
      <c r="B349" s="138"/>
      <c r="F349" s="138"/>
      <c r="G349" s="138"/>
      <c r="H349" s="138"/>
      <c r="T349" s="31"/>
    </row>
    <row r="350">
      <c r="B350" s="138"/>
      <c r="F350" s="138"/>
      <c r="G350" s="138"/>
      <c r="H350" s="138"/>
      <c r="T350" s="31"/>
    </row>
    <row r="351">
      <c r="B351" s="138"/>
      <c r="F351" s="138"/>
      <c r="G351" s="138"/>
      <c r="H351" s="138"/>
      <c r="T351" s="31"/>
    </row>
    <row r="352">
      <c r="B352" s="138"/>
      <c r="F352" s="138"/>
      <c r="G352" s="138"/>
      <c r="H352" s="138"/>
      <c r="T352" s="31"/>
    </row>
    <row r="353">
      <c r="B353" s="138"/>
      <c r="F353" s="138"/>
      <c r="G353" s="138"/>
      <c r="H353" s="138"/>
      <c r="T353" s="31"/>
    </row>
    <row r="354">
      <c r="B354" s="138"/>
      <c r="F354" s="138"/>
      <c r="G354" s="138"/>
      <c r="H354" s="138"/>
      <c r="T354" s="31"/>
    </row>
    <row r="355">
      <c r="B355" s="138"/>
      <c r="F355" s="138"/>
      <c r="G355" s="138"/>
      <c r="H355" s="138"/>
      <c r="T355" s="31"/>
    </row>
    <row r="356">
      <c r="B356" s="138"/>
      <c r="F356" s="138"/>
      <c r="G356" s="138"/>
      <c r="H356" s="138"/>
      <c r="T356" s="31"/>
    </row>
    <row r="357">
      <c r="B357" s="138"/>
      <c r="F357" s="138"/>
      <c r="G357" s="138"/>
      <c r="H357" s="138"/>
      <c r="T357" s="31"/>
    </row>
    <row r="358">
      <c r="B358" s="138"/>
      <c r="F358" s="138"/>
      <c r="G358" s="138"/>
      <c r="H358" s="138"/>
      <c r="T358" s="31"/>
    </row>
    <row r="359">
      <c r="B359" s="138"/>
      <c r="F359" s="138"/>
      <c r="G359" s="138"/>
      <c r="H359" s="138"/>
      <c r="T359" s="31"/>
    </row>
    <row r="360">
      <c r="B360" s="138"/>
      <c r="F360" s="138"/>
      <c r="G360" s="138"/>
      <c r="H360" s="138"/>
      <c r="T360" s="31"/>
    </row>
    <row r="361">
      <c r="B361" s="138"/>
      <c r="F361" s="138"/>
      <c r="G361" s="138"/>
      <c r="H361" s="138"/>
      <c r="T361" s="31"/>
    </row>
    <row r="362">
      <c r="B362" s="138"/>
      <c r="F362" s="138"/>
      <c r="G362" s="138"/>
      <c r="H362" s="138"/>
      <c r="T362" s="31"/>
    </row>
    <row r="363">
      <c r="B363" s="138"/>
      <c r="F363" s="138"/>
      <c r="G363" s="138"/>
      <c r="H363" s="138"/>
      <c r="T363" s="31"/>
    </row>
    <row r="364">
      <c r="B364" s="138"/>
      <c r="F364" s="138"/>
      <c r="G364" s="138"/>
      <c r="H364" s="138"/>
      <c r="T364" s="31"/>
    </row>
    <row r="365">
      <c r="B365" s="138"/>
      <c r="F365" s="138"/>
      <c r="G365" s="138"/>
      <c r="H365" s="138"/>
      <c r="T365" s="31"/>
    </row>
    <row r="366">
      <c r="B366" s="138"/>
      <c r="F366" s="138"/>
      <c r="G366" s="138"/>
      <c r="H366" s="138"/>
      <c r="T366" s="31"/>
    </row>
    <row r="367">
      <c r="B367" s="138"/>
      <c r="F367" s="138"/>
      <c r="G367" s="138"/>
      <c r="H367" s="138"/>
      <c r="T367" s="31"/>
    </row>
    <row r="368">
      <c r="B368" s="138"/>
      <c r="F368" s="138"/>
      <c r="G368" s="138"/>
      <c r="H368" s="138"/>
      <c r="T368" s="31"/>
    </row>
    <row r="369">
      <c r="B369" s="138"/>
      <c r="F369" s="138"/>
      <c r="G369" s="138"/>
      <c r="H369" s="138"/>
      <c r="T369" s="31"/>
    </row>
    <row r="370">
      <c r="B370" s="138"/>
      <c r="F370" s="138"/>
      <c r="G370" s="138"/>
      <c r="H370" s="138"/>
      <c r="T370" s="31"/>
    </row>
    <row r="371">
      <c r="B371" s="138"/>
      <c r="F371" s="138"/>
      <c r="G371" s="138"/>
      <c r="H371" s="138"/>
      <c r="T371" s="31"/>
    </row>
    <row r="372">
      <c r="B372" s="138"/>
      <c r="F372" s="138"/>
      <c r="G372" s="138"/>
      <c r="H372" s="138"/>
      <c r="T372" s="31"/>
    </row>
    <row r="373">
      <c r="B373" s="138"/>
      <c r="F373" s="138"/>
      <c r="G373" s="138"/>
      <c r="H373" s="138"/>
      <c r="T373" s="31"/>
    </row>
    <row r="374">
      <c r="B374" s="138"/>
      <c r="F374" s="138"/>
      <c r="G374" s="138"/>
      <c r="H374" s="138"/>
      <c r="T374" s="31"/>
    </row>
    <row r="375">
      <c r="B375" s="138"/>
      <c r="F375" s="138"/>
      <c r="G375" s="138"/>
      <c r="H375" s="138"/>
      <c r="T375" s="31"/>
    </row>
    <row r="376">
      <c r="B376" s="138"/>
      <c r="F376" s="138"/>
      <c r="G376" s="138"/>
      <c r="H376" s="138"/>
      <c r="T376" s="31"/>
    </row>
    <row r="377">
      <c r="B377" s="138"/>
      <c r="F377" s="138"/>
      <c r="G377" s="138"/>
      <c r="H377" s="138"/>
      <c r="T377" s="31"/>
    </row>
    <row r="378">
      <c r="B378" s="138"/>
      <c r="F378" s="138"/>
      <c r="G378" s="138"/>
      <c r="H378" s="138"/>
      <c r="T378" s="31"/>
    </row>
    <row r="379">
      <c r="B379" s="138"/>
      <c r="F379" s="138"/>
      <c r="G379" s="138"/>
      <c r="H379" s="138"/>
      <c r="T379" s="31"/>
    </row>
    <row r="380">
      <c r="B380" s="138"/>
      <c r="F380" s="138"/>
      <c r="G380" s="138"/>
      <c r="H380" s="138"/>
      <c r="T380" s="31"/>
    </row>
    <row r="381">
      <c r="B381" s="138"/>
      <c r="F381" s="138"/>
      <c r="G381" s="138"/>
      <c r="H381" s="138"/>
      <c r="T381" s="31"/>
    </row>
    <row r="382">
      <c r="B382" s="138"/>
      <c r="F382" s="138"/>
      <c r="G382" s="138"/>
      <c r="H382" s="138"/>
      <c r="T382" s="31"/>
    </row>
    <row r="383">
      <c r="B383" s="138"/>
      <c r="F383" s="138"/>
      <c r="G383" s="138"/>
      <c r="H383" s="138"/>
      <c r="T383" s="31"/>
    </row>
    <row r="384">
      <c r="B384" s="138"/>
      <c r="F384" s="138"/>
      <c r="G384" s="138"/>
      <c r="H384" s="138"/>
      <c r="T384" s="31"/>
    </row>
    <row r="385">
      <c r="B385" s="138"/>
      <c r="F385" s="138"/>
      <c r="G385" s="138"/>
      <c r="H385" s="138"/>
      <c r="T385" s="31"/>
    </row>
    <row r="386">
      <c r="B386" s="138"/>
      <c r="F386" s="138"/>
      <c r="G386" s="138"/>
      <c r="H386" s="138"/>
      <c r="T386" s="31"/>
    </row>
    <row r="387">
      <c r="B387" s="138"/>
      <c r="F387" s="138"/>
      <c r="G387" s="138"/>
      <c r="H387" s="138"/>
      <c r="T387" s="31"/>
    </row>
    <row r="388">
      <c r="B388" s="138"/>
      <c r="F388" s="138"/>
      <c r="G388" s="138"/>
      <c r="H388" s="138"/>
      <c r="T388" s="31"/>
    </row>
    <row r="389">
      <c r="B389" s="138"/>
      <c r="F389" s="138"/>
      <c r="G389" s="138"/>
      <c r="H389" s="138"/>
      <c r="T389" s="31"/>
    </row>
    <row r="390">
      <c r="B390" s="138"/>
      <c r="F390" s="138"/>
      <c r="G390" s="138"/>
      <c r="H390" s="138"/>
      <c r="T390" s="31"/>
    </row>
    <row r="391">
      <c r="B391" s="138"/>
      <c r="F391" s="138"/>
      <c r="G391" s="138"/>
      <c r="H391" s="138"/>
      <c r="T391" s="31"/>
    </row>
    <row r="392">
      <c r="B392" s="138"/>
      <c r="F392" s="138"/>
      <c r="G392" s="138"/>
      <c r="H392" s="138"/>
      <c r="T392" s="31"/>
    </row>
    <row r="393">
      <c r="B393" s="138"/>
      <c r="F393" s="138"/>
      <c r="G393" s="138"/>
      <c r="H393" s="138"/>
      <c r="T393" s="31"/>
    </row>
    <row r="394">
      <c r="B394" s="138"/>
      <c r="F394" s="138"/>
      <c r="G394" s="138"/>
      <c r="H394" s="138"/>
      <c r="T394" s="31"/>
    </row>
    <row r="395">
      <c r="B395" s="138"/>
      <c r="F395" s="138"/>
      <c r="G395" s="138"/>
      <c r="H395" s="138"/>
      <c r="T395" s="31"/>
    </row>
    <row r="396">
      <c r="B396" s="138"/>
      <c r="F396" s="138"/>
      <c r="G396" s="138"/>
      <c r="H396" s="138"/>
      <c r="T396" s="31"/>
    </row>
    <row r="397">
      <c r="B397" s="138"/>
      <c r="F397" s="138"/>
      <c r="G397" s="138"/>
      <c r="H397" s="138"/>
      <c r="T397" s="31"/>
    </row>
    <row r="398">
      <c r="B398" s="138"/>
      <c r="F398" s="138"/>
      <c r="G398" s="138"/>
      <c r="H398" s="138"/>
      <c r="T398" s="31"/>
    </row>
    <row r="399">
      <c r="B399" s="138"/>
      <c r="F399" s="138"/>
      <c r="G399" s="138"/>
      <c r="H399" s="138"/>
      <c r="T399" s="31"/>
    </row>
    <row r="400">
      <c r="B400" s="138"/>
      <c r="F400" s="138"/>
      <c r="G400" s="138"/>
      <c r="H400" s="138"/>
      <c r="T400" s="31"/>
    </row>
    <row r="401">
      <c r="B401" s="138"/>
      <c r="F401" s="138"/>
      <c r="G401" s="138"/>
      <c r="H401" s="138"/>
      <c r="T401" s="31"/>
    </row>
    <row r="402">
      <c r="B402" s="138"/>
      <c r="F402" s="138"/>
      <c r="G402" s="138"/>
      <c r="H402" s="138"/>
      <c r="T402" s="31"/>
    </row>
    <row r="403">
      <c r="B403" s="138"/>
      <c r="F403" s="138"/>
      <c r="G403" s="138"/>
      <c r="H403" s="138"/>
      <c r="T403" s="31"/>
    </row>
    <row r="404">
      <c r="B404" s="138"/>
      <c r="F404" s="138"/>
      <c r="G404" s="138"/>
      <c r="H404" s="138"/>
      <c r="T404" s="31"/>
    </row>
    <row r="405">
      <c r="B405" s="138"/>
      <c r="F405" s="138"/>
      <c r="G405" s="138"/>
      <c r="H405" s="138"/>
      <c r="T405" s="31"/>
    </row>
    <row r="406">
      <c r="B406" s="138"/>
      <c r="F406" s="138"/>
      <c r="G406" s="138"/>
      <c r="H406" s="138"/>
      <c r="T406" s="31"/>
    </row>
    <row r="407">
      <c r="B407" s="138"/>
      <c r="F407" s="138"/>
      <c r="G407" s="138"/>
      <c r="H407" s="138"/>
      <c r="T407" s="31"/>
    </row>
    <row r="408">
      <c r="B408" s="138"/>
      <c r="F408" s="138"/>
      <c r="G408" s="138"/>
      <c r="H408" s="138"/>
      <c r="T408" s="31"/>
    </row>
    <row r="409">
      <c r="B409" s="138"/>
      <c r="F409" s="138"/>
      <c r="G409" s="138"/>
      <c r="H409" s="138"/>
      <c r="T409" s="31"/>
    </row>
    <row r="410">
      <c r="B410" s="138"/>
      <c r="F410" s="138"/>
      <c r="G410" s="138"/>
      <c r="H410" s="138"/>
      <c r="T410" s="31"/>
    </row>
    <row r="411">
      <c r="B411" s="138"/>
      <c r="F411" s="138"/>
      <c r="G411" s="138"/>
      <c r="H411" s="138"/>
      <c r="T411" s="31"/>
    </row>
    <row r="412">
      <c r="B412" s="138"/>
      <c r="F412" s="138"/>
      <c r="G412" s="138"/>
      <c r="H412" s="138"/>
      <c r="T412" s="31"/>
    </row>
    <row r="413">
      <c r="B413" s="138"/>
      <c r="F413" s="138"/>
      <c r="G413" s="138"/>
      <c r="H413" s="138"/>
      <c r="T413" s="31"/>
    </row>
    <row r="414">
      <c r="B414" s="138"/>
      <c r="F414" s="138"/>
      <c r="G414" s="138"/>
      <c r="H414" s="138"/>
      <c r="T414" s="31"/>
    </row>
    <row r="415">
      <c r="B415" s="138"/>
      <c r="F415" s="138"/>
      <c r="G415" s="138"/>
      <c r="H415" s="138"/>
      <c r="T415" s="31"/>
    </row>
    <row r="416">
      <c r="B416" s="138"/>
      <c r="F416" s="138"/>
      <c r="G416" s="138"/>
      <c r="H416" s="138"/>
      <c r="T416" s="31"/>
    </row>
    <row r="417">
      <c r="B417" s="138"/>
      <c r="F417" s="138"/>
      <c r="G417" s="138"/>
      <c r="H417" s="138"/>
      <c r="T417" s="31"/>
    </row>
    <row r="418">
      <c r="B418" s="138"/>
      <c r="F418" s="138"/>
      <c r="G418" s="138"/>
      <c r="H418" s="138"/>
      <c r="T418" s="31"/>
    </row>
    <row r="419">
      <c r="B419" s="138"/>
      <c r="F419" s="138"/>
      <c r="G419" s="138"/>
      <c r="H419" s="138"/>
      <c r="T419" s="31"/>
    </row>
    <row r="420">
      <c r="B420" s="138"/>
      <c r="F420" s="138"/>
      <c r="G420" s="138"/>
      <c r="H420" s="138"/>
      <c r="T420" s="31"/>
    </row>
    <row r="421">
      <c r="B421" s="138"/>
      <c r="F421" s="138"/>
      <c r="G421" s="138"/>
      <c r="H421" s="138"/>
      <c r="T421" s="31"/>
    </row>
    <row r="422">
      <c r="B422" s="138"/>
      <c r="F422" s="138"/>
      <c r="G422" s="138"/>
      <c r="H422" s="138"/>
      <c r="T422" s="31"/>
    </row>
    <row r="423">
      <c r="B423" s="138"/>
      <c r="F423" s="138"/>
      <c r="G423" s="138"/>
      <c r="H423" s="138"/>
      <c r="T423" s="31"/>
    </row>
    <row r="424">
      <c r="B424" s="138"/>
      <c r="F424" s="138"/>
      <c r="G424" s="138"/>
      <c r="H424" s="138"/>
      <c r="T424" s="31"/>
    </row>
    <row r="425">
      <c r="B425" s="138"/>
      <c r="F425" s="138"/>
      <c r="G425" s="138"/>
      <c r="H425" s="138"/>
      <c r="T425" s="31"/>
    </row>
    <row r="426">
      <c r="B426" s="138"/>
      <c r="F426" s="138"/>
      <c r="G426" s="138"/>
      <c r="H426" s="138"/>
      <c r="T426" s="31"/>
    </row>
    <row r="427">
      <c r="B427" s="138"/>
      <c r="F427" s="138"/>
      <c r="G427" s="138"/>
      <c r="H427" s="138"/>
      <c r="T427" s="31"/>
    </row>
    <row r="428">
      <c r="B428" s="138"/>
      <c r="F428" s="138"/>
      <c r="G428" s="138"/>
      <c r="H428" s="138"/>
      <c r="T428" s="31"/>
    </row>
    <row r="429">
      <c r="B429" s="138"/>
      <c r="F429" s="138"/>
      <c r="G429" s="138"/>
      <c r="H429" s="138"/>
      <c r="T429" s="31"/>
    </row>
    <row r="430">
      <c r="B430" s="138"/>
      <c r="F430" s="138"/>
      <c r="G430" s="138"/>
      <c r="H430" s="138"/>
      <c r="T430" s="31"/>
    </row>
    <row r="431">
      <c r="B431" s="138"/>
      <c r="F431" s="138"/>
      <c r="G431" s="138"/>
      <c r="H431" s="138"/>
      <c r="T431" s="31"/>
    </row>
    <row r="432">
      <c r="B432" s="138"/>
      <c r="F432" s="138"/>
      <c r="G432" s="138"/>
      <c r="H432" s="138"/>
      <c r="T432" s="31"/>
    </row>
    <row r="433">
      <c r="B433" s="138"/>
      <c r="F433" s="138"/>
      <c r="G433" s="138"/>
      <c r="H433" s="138"/>
      <c r="T433" s="31"/>
    </row>
    <row r="434">
      <c r="B434" s="138"/>
      <c r="F434" s="138"/>
      <c r="G434" s="138"/>
      <c r="H434" s="138"/>
      <c r="T434" s="31"/>
    </row>
    <row r="435">
      <c r="B435" s="138"/>
      <c r="F435" s="138"/>
      <c r="G435" s="138"/>
      <c r="H435" s="138"/>
      <c r="T435" s="31"/>
    </row>
    <row r="436">
      <c r="B436" s="138"/>
      <c r="F436" s="138"/>
      <c r="G436" s="138"/>
      <c r="H436" s="138"/>
      <c r="T436" s="31"/>
    </row>
    <row r="437">
      <c r="B437" s="138"/>
      <c r="F437" s="138"/>
      <c r="G437" s="138"/>
      <c r="H437" s="138"/>
      <c r="T437" s="31"/>
    </row>
    <row r="438">
      <c r="B438" s="138"/>
      <c r="F438" s="138"/>
      <c r="G438" s="138"/>
      <c r="H438" s="138"/>
      <c r="T438" s="31"/>
    </row>
    <row r="439">
      <c r="B439" s="138"/>
      <c r="F439" s="138"/>
      <c r="G439" s="138"/>
      <c r="H439" s="138"/>
      <c r="T439" s="31"/>
    </row>
    <row r="440">
      <c r="B440" s="138"/>
      <c r="F440" s="138"/>
      <c r="G440" s="138"/>
      <c r="H440" s="138"/>
      <c r="T440" s="31"/>
    </row>
    <row r="441">
      <c r="B441" s="138"/>
      <c r="F441" s="138"/>
      <c r="G441" s="138"/>
      <c r="H441" s="138"/>
      <c r="T441" s="31"/>
    </row>
    <row r="442">
      <c r="B442" s="138"/>
      <c r="F442" s="138"/>
      <c r="G442" s="138"/>
      <c r="H442" s="138"/>
      <c r="T442" s="31"/>
    </row>
    <row r="443">
      <c r="B443" s="138"/>
      <c r="F443" s="138"/>
      <c r="G443" s="138"/>
      <c r="H443" s="138"/>
      <c r="T443" s="31"/>
    </row>
    <row r="444">
      <c r="B444" s="138"/>
      <c r="F444" s="138"/>
      <c r="G444" s="138"/>
      <c r="H444" s="138"/>
      <c r="T444" s="31"/>
    </row>
    <row r="445">
      <c r="B445" s="138"/>
      <c r="F445" s="138"/>
      <c r="G445" s="138"/>
      <c r="H445" s="138"/>
      <c r="T445" s="31"/>
    </row>
    <row r="446">
      <c r="B446" s="138"/>
      <c r="F446" s="138"/>
      <c r="G446" s="138"/>
      <c r="H446" s="138"/>
      <c r="T446" s="31"/>
    </row>
    <row r="447">
      <c r="B447" s="138"/>
      <c r="F447" s="138"/>
      <c r="G447" s="138"/>
      <c r="H447" s="138"/>
      <c r="T447" s="31"/>
    </row>
    <row r="448">
      <c r="B448" s="138"/>
      <c r="F448" s="138"/>
      <c r="G448" s="138"/>
      <c r="H448" s="138"/>
      <c r="T448" s="31"/>
    </row>
    <row r="449">
      <c r="B449" s="138"/>
      <c r="F449" s="138"/>
      <c r="G449" s="138"/>
      <c r="H449" s="138"/>
      <c r="T449" s="31"/>
    </row>
    <row r="450">
      <c r="B450" s="138"/>
      <c r="F450" s="138"/>
      <c r="G450" s="138"/>
      <c r="H450" s="138"/>
      <c r="T450" s="31"/>
    </row>
    <row r="451">
      <c r="B451" s="138"/>
      <c r="F451" s="138"/>
      <c r="G451" s="138"/>
      <c r="H451" s="138"/>
      <c r="T451" s="31"/>
    </row>
    <row r="452">
      <c r="B452" s="138"/>
      <c r="F452" s="138"/>
      <c r="G452" s="138"/>
      <c r="H452" s="138"/>
      <c r="T452" s="31"/>
    </row>
    <row r="453">
      <c r="B453" s="138"/>
      <c r="F453" s="138"/>
      <c r="G453" s="138"/>
      <c r="H453" s="138"/>
      <c r="T453" s="31"/>
    </row>
    <row r="454">
      <c r="B454" s="138"/>
      <c r="F454" s="138"/>
      <c r="G454" s="138"/>
      <c r="H454" s="138"/>
      <c r="T454" s="31"/>
    </row>
    <row r="455">
      <c r="B455" s="138"/>
      <c r="F455" s="138"/>
      <c r="G455" s="138"/>
      <c r="H455" s="138"/>
      <c r="T455" s="31"/>
    </row>
    <row r="456">
      <c r="B456" s="138"/>
      <c r="F456" s="138"/>
      <c r="G456" s="138"/>
      <c r="H456" s="138"/>
      <c r="T456" s="31"/>
    </row>
    <row r="457">
      <c r="B457" s="138"/>
      <c r="F457" s="138"/>
      <c r="G457" s="138"/>
      <c r="H457" s="138"/>
      <c r="T457" s="31"/>
    </row>
    <row r="458">
      <c r="B458" s="138"/>
      <c r="F458" s="138"/>
      <c r="G458" s="138"/>
      <c r="H458" s="138"/>
      <c r="T458" s="31"/>
    </row>
    <row r="459">
      <c r="B459" s="138"/>
      <c r="F459" s="138"/>
      <c r="G459" s="138"/>
      <c r="H459" s="138"/>
      <c r="T459" s="31"/>
    </row>
    <row r="460">
      <c r="B460" s="138"/>
      <c r="F460" s="138"/>
      <c r="G460" s="138"/>
      <c r="H460" s="138"/>
      <c r="T460" s="31"/>
    </row>
    <row r="461">
      <c r="B461" s="138"/>
      <c r="F461" s="138"/>
      <c r="G461" s="138"/>
      <c r="H461" s="138"/>
      <c r="T461" s="31"/>
    </row>
    <row r="462">
      <c r="B462" s="138"/>
      <c r="F462" s="138"/>
      <c r="G462" s="138"/>
      <c r="H462" s="138"/>
      <c r="T462" s="31"/>
    </row>
    <row r="463">
      <c r="B463" s="138"/>
      <c r="F463" s="138"/>
      <c r="G463" s="138"/>
      <c r="H463" s="138"/>
      <c r="T463" s="31"/>
    </row>
    <row r="464">
      <c r="B464" s="138"/>
      <c r="F464" s="138"/>
      <c r="G464" s="138"/>
      <c r="H464" s="138"/>
      <c r="T464" s="31"/>
    </row>
    <row r="465">
      <c r="B465" s="138"/>
      <c r="F465" s="138"/>
      <c r="G465" s="138"/>
      <c r="H465" s="138"/>
      <c r="T465" s="31"/>
    </row>
    <row r="466">
      <c r="B466" s="138"/>
      <c r="F466" s="138"/>
      <c r="G466" s="138"/>
      <c r="H466" s="138"/>
      <c r="T466" s="31"/>
    </row>
    <row r="467">
      <c r="B467" s="138"/>
      <c r="F467" s="138"/>
      <c r="G467" s="138"/>
      <c r="H467" s="138"/>
      <c r="T467" s="31"/>
    </row>
    <row r="468">
      <c r="B468" s="138"/>
      <c r="F468" s="138"/>
      <c r="G468" s="138"/>
      <c r="H468" s="138"/>
      <c r="T468" s="31"/>
    </row>
    <row r="469">
      <c r="B469" s="138"/>
      <c r="F469" s="138"/>
      <c r="G469" s="138"/>
      <c r="H469" s="138"/>
      <c r="T469" s="31"/>
    </row>
    <row r="470">
      <c r="B470" s="138"/>
      <c r="F470" s="138"/>
      <c r="G470" s="138"/>
      <c r="H470" s="138"/>
      <c r="T470" s="31"/>
    </row>
    <row r="471">
      <c r="B471" s="138"/>
      <c r="F471" s="138"/>
      <c r="G471" s="138"/>
      <c r="H471" s="138"/>
      <c r="T471" s="31"/>
    </row>
    <row r="472">
      <c r="B472" s="138"/>
      <c r="F472" s="138"/>
      <c r="G472" s="138"/>
      <c r="H472" s="138"/>
      <c r="T472" s="31"/>
    </row>
    <row r="473">
      <c r="B473" s="138"/>
      <c r="F473" s="138"/>
      <c r="G473" s="138"/>
      <c r="H473" s="138"/>
      <c r="T473" s="31"/>
    </row>
    <row r="474">
      <c r="B474" s="138"/>
      <c r="F474" s="138"/>
      <c r="G474" s="138"/>
      <c r="H474" s="138"/>
      <c r="T474" s="31"/>
    </row>
    <row r="475">
      <c r="B475" s="138"/>
      <c r="F475" s="138"/>
      <c r="G475" s="138"/>
      <c r="H475" s="138"/>
      <c r="T475" s="31"/>
    </row>
    <row r="476">
      <c r="B476" s="138"/>
      <c r="F476" s="138"/>
      <c r="G476" s="138"/>
      <c r="H476" s="138"/>
      <c r="T476" s="31"/>
    </row>
    <row r="477">
      <c r="B477" s="138"/>
      <c r="F477" s="138"/>
      <c r="G477" s="138"/>
      <c r="H477" s="138"/>
      <c r="T477" s="31"/>
    </row>
    <row r="478">
      <c r="B478" s="138"/>
      <c r="F478" s="138"/>
      <c r="G478" s="138"/>
      <c r="H478" s="138"/>
      <c r="T478" s="31"/>
    </row>
    <row r="479">
      <c r="B479" s="138"/>
      <c r="F479" s="138"/>
      <c r="G479" s="138"/>
      <c r="H479" s="138"/>
      <c r="T479" s="31"/>
    </row>
    <row r="480">
      <c r="B480" s="138"/>
      <c r="F480" s="138"/>
      <c r="G480" s="138"/>
      <c r="H480" s="138"/>
      <c r="T480" s="31"/>
    </row>
    <row r="481">
      <c r="B481" s="138"/>
      <c r="F481" s="138"/>
      <c r="G481" s="138"/>
      <c r="H481" s="138"/>
      <c r="T481" s="31"/>
    </row>
    <row r="482">
      <c r="B482" s="138"/>
      <c r="F482" s="138"/>
      <c r="G482" s="138"/>
      <c r="H482" s="138"/>
      <c r="T482" s="31"/>
    </row>
    <row r="483">
      <c r="B483" s="138"/>
      <c r="F483" s="138"/>
      <c r="G483" s="138"/>
      <c r="H483" s="138"/>
      <c r="T483" s="31"/>
    </row>
    <row r="484">
      <c r="B484" s="138"/>
      <c r="F484" s="138"/>
      <c r="G484" s="138"/>
      <c r="H484" s="138"/>
      <c r="T484" s="31"/>
    </row>
    <row r="485">
      <c r="B485" s="138"/>
      <c r="F485" s="138"/>
      <c r="G485" s="138"/>
      <c r="H485" s="138"/>
      <c r="T485" s="31"/>
    </row>
    <row r="486">
      <c r="B486" s="138"/>
      <c r="F486" s="138"/>
      <c r="G486" s="138"/>
      <c r="H486" s="138"/>
      <c r="T486" s="31"/>
    </row>
    <row r="487">
      <c r="B487" s="138"/>
      <c r="F487" s="138"/>
      <c r="G487" s="138"/>
      <c r="H487" s="138"/>
      <c r="T487" s="31"/>
    </row>
    <row r="488">
      <c r="B488" s="138"/>
      <c r="F488" s="138"/>
      <c r="G488" s="138"/>
      <c r="H488" s="138"/>
      <c r="T488" s="31"/>
    </row>
    <row r="489">
      <c r="B489" s="138"/>
      <c r="F489" s="138"/>
      <c r="G489" s="138"/>
      <c r="H489" s="138"/>
      <c r="T489" s="31"/>
    </row>
    <row r="490">
      <c r="B490" s="138"/>
      <c r="F490" s="138"/>
      <c r="G490" s="138"/>
      <c r="H490" s="138"/>
      <c r="T490" s="31"/>
    </row>
    <row r="491">
      <c r="B491" s="138"/>
      <c r="F491" s="138"/>
      <c r="G491" s="138"/>
      <c r="H491" s="138"/>
      <c r="T491" s="31"/>
    </row>
    <row r="492">
      <c r="B492" s="138"/>
      <c r="F492" s="138"/>
      <c r="G492" s="138"/>
      <c r="H492" s="138"/>
      <c r="T492" s="31"/>
    </row>
    <row r="493">
      <c r="B493" s="138"/>
      <c r="F493" s="138"/>
      <c r="G493" s="138"/>
      <c r="H493" s="138"/>
      <c r="T493" s="31"/>
    </row>
    <row r="494">
      <c r="B494" s="138"/>
      <c r="F494" s="138"/>
      <c r="G494" s="138"/>
      <c r="H494" s="138"/>
      <c r="T494" s="31"/>
    </row>
    <row r="495">
      <c r="B495" s="138"/>
      <c r="F495" s="138"/>
      <c r="G495" s="138"/>
      <c r="H495" s="138"/>
      <c r="T495" s="31"/>
    </row>
    <row r="496">
      <c r="B496" s="138"/>
      <c r="F496" s="138"/>
      <c r="G496" s="138"/>
      <c r="H496" s="138"/>
      <c r="T496" s="31"/>
    </row>
    <row r="497">
      <c r="B497" s="138"/>
      <c r="F497" s="138"/>
      <c r="G497" s="138"/>
      <c r="H497" s="138"/>
      <c r="T497" s="31"/>
    </row>
    <row r="498">
      <c r="B498" s="138"/>
      <c r="F498" s="138"/>
      <c r="G498" s="138"/>
      <c r="H498" s="138"/>
      <c r="T498" s="31"/>
    </row>
    <row r="499">
      <c r="B499" s="138"/>
      <c r="F499" s="138"/>
      <c r="G499" s="138"/>
      <c r="H499" s="138"/>
      <c r="T499" s="31"/>
    </row>
    <row r="500">
      <c r="B500" s="138"/>
      <c r="F500" s="138"/>
      <c r="G500" s="138"/>
      <c r="H500" s="138"/>
      <c r="T500" s="31"/>
    </row>
    <row r="501">
      <c r="B501" s="138"/>
      <c r="F501" s="138"/>
      <c r="G501" s="138"/>
      <c r="H501" s="138"/>
      <c r="T501" s="31"/>
    </row>
    <row r="502">
      <c r="B502" s="138"/>
      <c r="F502" s="138"/>
      <c r="G502" s="138"/>
      <c r="H502" s="138"/>
      <c r="T502" s="31"/>
    </row>
    <row r="503">
      <c r="B503" s="138"/>
      <c r="F503" s="138"/>
      <c r="G503" s="138"/>
      <c r="H503" s="138"/>
      <c r="T503" s="31"/>
    </row>
    <row r="504">
      <c r="B504" s="138"/>
      <c r="F504" s="138"/>
      <c r="G504" s="138"/>
      <c r="H504" s="138"/>
      <c r="T504" s="31"/>
    </row>
    <row r="505">
      <c r="B505" s="138"/>
      <c r="F505" s="138"/>
      <c r="G505" s="138"/>
      <c r="H505" s="138"/>
      <c r="T505" s="31"/>
    </row>
    <row r="506">
      <c r="B506" s="138"/>
      <c r="F506" s="138"/>
      <c r="G506" s="138"/>
      <c r="H506" s="138"/>
      <c r="T506" s="31"/>
    </row>
    <row r="507">
      <c r="B507" s="138"/>
      <c r="F507" s="138"/>
      <c r="G507" s="138"/>
      <c r="H507" s="138"/>
      <c r="T507" s="31"/>
    </row>
    <row r="508">
      <c r="B508" s="138"/>
      <c r="F508" s="138"/>
      <c r="G508" s="138"/>
      <c r="H508" s="138"/>
      <c r="T508" s="31"/>
    </row>
    <row r="509">
      <c r="B509" s="138"/>
      <c r="F509" s="138"/>
      <c r="G509" s="138"/>
      <c r="H509" s="138"/>
      <c r="T509" s="31"/>
    </row>
    <row r="510">
      <c r="B510" s="138"/>
      <c r="F510" s="138"/>
      <c r="G510" s="138"/>
      <c r="H510" s="138"/>
      <c r="T510" s="31"/>
    </row>
    <row r="511">
      <c r="B511" s="138"/>
      <c r="F511" s="138"/>
      <c r="G511" s="138"/>
      <c r="H511" s="138"/>
      <c r="T511" s="31"/>
    </row>
    <row r="512">
      <c r="B512" s="138"/>
      <c r="F512" s="138"/>
      <c r="G512" s="138"/>
      <c r="H512" s="138"/>
      <c r="T512" s="31"/>
    </row>
    <row r="513">
      <c r="B513" s="138"/>
      <c r="F513" s="138"/>
      <c r="G513" s="138"/>
      <c r="H513" s="138"/>
      <c r="T513" s="31"/>
    </row>
    <row r="514">
      <c r="B514" s="138"/>
      <c r="F514" s="138"/>
      <c r="G514" s="138"/>
      <c r="H514" s="138"/>
      <c r="T514" s="31"/>
    </row>
    <row r="515">
      <c r="B515" s="138"/>
      <c r="F515" s="138"/>
      <c r="G515" s="138"/>
      <c r="H515" s="138"/>
      <c r="T515" s="31"/>
    </row>
    <row r="516">
      <c r="B516" s="138"/>
      <c r="F516" s="138"/>
      <c r="G516" s="138"/>
      <c r="H516" s="138"/>
      <c r="T516" s="31"/>
    </row>
    <row r="517">
      <c r="B517" s="138"/>
      <c r="F517" s="138"/>
      <c r="G517" s="138"/>
      <c r="H517" s="138"/>
      <c r="T517" s="31"/>
    </row>
    <row r="518">
      <c r="B518" s="138"/>
      <c r="F518" s="138"/>
      <c r="G518" s="138"/>
      <c r="H518" s="138"/>
      <c r="T518" s="31"/>
    </row>
    <row r="519">
      <c r="B519" s="138"/>
      <c r="F519" s="138"/>
      <c r="G519" s="138"/>
      <c r="H519" s="138"/>
      <c r="T519" s="31"/>
    </row>
    <row r="520">
      <c r="B520" s="138"/>
      <c r="F520" s="138"/>
      <c r="G520" s="138"/>
      <c r="H520" s="138"/>
      <c r="T520" s="31"/>
    </row>
    <row r="521">
      <c r="B521" s="138"/>
      <c r="F521" s="138"/>
      <c r="G521" s="138"/>
      <c r="H521" s="138"/>
      <c r="T521" s="31"/>
    </row>
    <row r="522">
      <c r="B522" s="138"/>
      <c r="F522" s="138"/>
      <c r="G522" s="138"/>
      <c r="H522" s="138"/>
      <c r="T522" s="31"/>
    </row>
    <row r="523">
      <c r="B523" s="138"/>
      <c r="F523" s="138"/>
      <c r="G523" s="138"/>
      <c r="H523" s="138"/>
      <c r="T523" s="31"/>
    </row>
    <row r="524">
      <c r="B524" s="138"/>
      <c r="F524" s="138"/>
      <c r="G524" s="138"/>
      <c r="H524" s="138"/>
      <c r="T524" s="31"/>
    </row>
    <row r="525">
      <c r="B525" s="138"/>
      <c r="F525" s="138"/>
      <c r="G525" s="138"/>
      <c r="H525" s="138"/>
      <c r="T525" s="31"/>
    </row>
    <row r="526">
      <c r="B526" s="138"/>
      <c r="F526" s="138"/>
      <c r="G526" s="138"/>
      <c r="H526" s="138"/>
      <c r="T526" s="31"/>
    </row>
    <row r="527">
      <c r="B527" s="138"/>
      <c r="F527" s="138"/>
      <c r="G527" s="138"/>
      <c r="H527" s="138"/>
      <c r="T527" s="31"/>
    </row>
    <row r="528">
      <c r="B528" s="138"/>
      <c r="F528" s="138"/>
      <c r="G528" s="138"/>
      <c r="H528" s="138"/>
      <c r="T528" s="31"/>
    </row>
    <row r="529">
      <c r="B529" s="138"/>
      <c r="F529" s="138"/>
      <c r="G529" s="138"/>
      <c r="H529" s="138"/>
      <c r="T529" s="31"/>
    </row>
    <row r="530">
      <c r="B530" s="138"/>
      <c r="F530" s="138"/>
      <c r="G530" s="138"/>
      <c r="H530" s="138"/>
      <c r="T530" s="31"/>
    </row>
    <row r="531">
      <c r="B531" s="138"/>
      <c r="F531" s="138"/>
      <c r="G531" s="138"/>
      <c r="H531" s="138"/>
      <c r="T531" s="31"/>
    </row>
    <row r="532">
      <c r="B532" s="138"/>
      <c r="F532" s="138"/>
      <c r="G532" s="138"/>
      <c r="H532" s="138"/>
      <c r="T532" s="31"/>
    </row>
    <row r="533">
      <c r="B533" s="138"/>
      <c r="F533" s="138"/>
      <c r="G533" s="138"/>
      <c r="H533" s="138"/>
      <c r="T533" s="31"/>
    </row>
    <row r="534">
      <c r="B534" s="138"/>
      <c r="F534" s="138"/>
      <c r="G534" s="138"/>
      <c r="H534" s="138"/>
      <c r="T534" s="31"/>
    </row>
    <row r="535">
      <c r="B535" s="138"/>
      <c r="F535" s="138"/>
      <c r="G535" s="138"/>
      <c r="H535" s="138"/>
      <c r="T535" s="31"/>
    </row>
    <row r="536">
      <c r="B536" s="138"/>
      <c r="F536" s="138"/>
      <c r="G536" s="138"/>
      <c r="H536" s="138"/>
      <c r="T536" s="31"/>
    </row>
    <row r="537">
      <c r="B537" s="138"/>
      <c r="F537" s="138"/>
      <c r="G537" s="138"/>
      <c r="H537" s="138"/>
      <c r="T537" s="31"/>
    </row>
    <row r="538">
      <c r="B538" s="138"/>
      <c r="F538" s="138"/>
      <c r="G538" s="138"/>
      <c r="H538" s="138"/>
      <c r="T538" s="31"/>
    </row>
    <row r="539">
      <c r="B539" s="138"/>
      <c r="F539" s="138"/>
      <c r="G539" s="138"/>
      <c r="H539" s="138"/>
      <c r="T539" s="31"/>
    </row>
    <row r="540">
      <c r="B540" s="138"/>
      <c r="F540" s="138"/>
      <c r="G540" s="138"/>
      <c r="H540" s="138"/>
      <c r="T540" s="31"/>
    </row>
    <row r="541">
      <c r="B541" s="138"/>
      <c r="F541" s="138"/>
      <c r="G541" s="138"/>
      <c r="H541" s="138"/>
      <c r="T541" s="31"/>
    </row>
    <row r="542">
      <c r="B542" s="138"/>
      <c r="F542" s="138"/>
      <c r="G542" s="138"/>
      <c r="H542" s="138"/>
      <c r="T542" s="31"/>
    </row>
    <row r="543">
      <c r="B543" s="138"/>
      <c r="F543" s="138"/>
      <c r="G543" s="138"/>
      <c r="H543" s="138"/>
      <c r="T543" s="31"/>
    </row>
    <row r="544">
      <c r="B544" s="138"/>
      <c r="F544" s="138"/>
      <c r="G544" s="138"/>
      <c r="H544" s="138"/>
      <c r="T544" s="31"/>
    </row>
    <row r="545">
      <c r="B545" s="138"/>
      <c r="F545" s="138"/>
      <c r="G545" s="138"/>
      <c r="H545" s="138"/>
      <c r="T545" s="31"/>
    </row>
    <row r="546">
      <c r="B546" s="138"/>
      <c r="F546" s="138"/>
      <c r="G546" s="138"/>
      <c r="H546" s="138"/>
      <c r="T546" s="31"/>
    </row>
    <row r="547">
      <c r="B547" s="138"/>
      <c r="F547" s="138"/>
      <c r="G547" s="138"/>
      <c r="H547" s="138"/>
      <c r="T547" s="31"/>
    </row>
    <row r="548">
      <c r="B548" s="138"/>
      <c r="F548" s="138"/>
      <c r="G548" s="138"/>
      <c r="H548" s="138"/>
      <c r="T548" s="31"/>
    </row>
    <row r="549">
      <c r="B549" s="138"/>
      <c r="F549" s="138"/>
      <c r="G549" s="138"/>
      <c r="H549" s="138"/>
      <c r="T549" s="31"/>
    </row>
    <row r="550">
      <c r="B550" s="138"/>
      <c r="F550" s="138"/>
      <c r="G550" s="138"/>
      <c r="H550" s="138"/>
      <c r="T550" s="31"/>
    </row>
    <row r="551">
      <c r="B551" s="138"/>
      <c r="F551" s="138"/>
      <c r="G551" s="138"/>
      <c r="H551" s="138"/>
      <c r="T551" s="31"/>
    </row>
    <row r="552">
      <c r="B552" s="138"/>
      <c r="F552" s="138"/>
      <c r="G552" s="138"/>
      <c r="H552" s="138"/>
      <c r="T552" s="31"/>
    </row>
    <row r="553">
      <c r="B553" s="138"/>
      <c r="F553" s="138"/>
      <c r="G553" s="138"/>
      <c r="H553" s="138"/>
      <c r="T553" s="31"/>
    </row>
    <row r="554">
      <c r="B554" s="138"/>
      <c r="F554" s="138"/>
      <c r="G554" s="138"/>
      <c r="H554" s="138"/>
      <c r="T554" s="31"/>
    </row>
    <row r="555">
      <c r="B555" s="138"/>
      <c r="F555" s="138"/>
      <c r="G555" s="138"/>
      <c r="H555" s="138"/>
      <c r="T555" s="31"/>
    </row>
    <row r="556">
      <c r="B556" s="138"/>
      <c r="F556" s="138"/>
      <c r="G556" s="138"/>
      <c r="H556" s="138"/>
      <c r="T556" s="31"/>
    </row>
    <row r="557">
      <c r="B557" s="138"/>
      <c r="F557" s="138"/>
      <c r="G557" s="138"/>
      <c r="H557" s="138"/>
      <c r="T557" s="31"/>
    </row>
    <row r="558">
      <c r="B558" s="138"/>
      <c r="F558" s="138"/>
      <c r="G558" s="138"/>
      <c r="H558" s="138"/>
      <c r="T558" s="31"/>
    </row>
    <row r="559">
      <c r="B559" s="138"/>
      <c r="F559" s="138"/>
      <c r="G559" s="138"/>
      <c r="H559" s="138"/>
      <c r="T559" s="31"/>
    </row>
    <row r="560">
      <c r="B560" s="138"/>
      <c r="F560" s="138"/>
      <c r="G560" s="138"/>
      <c r="H560" s="138"/>
      <c r="T560" s="31"/>
    </row>
    <row r="561">
      <c r="B561" s="138"/>
      <c r="F561" s="138"/>
      <c r="G561" s="138"/>
      <c r="H561" s="138"/>
      <c r="T561" s="31"/>
    </row>
    <row r="562">
      <c r="B562" s="138"/>
      <c r="F562" s="138"/>
      <c r="G562" s="138"/>
      <c r="H562" s="138"/>
      <c r="T562" s="31"/>
    </row>
    <row r="563">
      <c r="B563" s="138"/>
      <c r="F563" s="138"/>
      <c r="G563" s="138"/>
      <c r="H563" s="138"/>
      <c r="T563" s="31"/>
    </row>
    <row r="564">
      <c r="B564" s="138"/>
      <c r="F564" s="138"/>
      <c r="G564" s="138"/>
      <c r="H564" s="138"/>
      <c r="T564" s="31"/>
    </row>
    <row r="565">
      <c r="B565" s="138"/>
      <c r="F565" s="138"/>
      <c r="G565" s="138"/>
      <c r="H565" s="138"/>
      <c r="T565" s="31"/>
    </row>
    <row r="566">
      <c r="B566" s="138"/>
      <c r="F566" s="138"/>
      <c r="G566" s="138"/>
      <c r="H566" s="138"/>
      <c r="T566" s="31"/>
    </row>
    <row r="567">
      <c r="B567" s="138"/>
      <c r="F567" s="138"/>
      <c r="G567" s="138"/>
      <c r="H567" s="138"/>
      <c r="T567" s="31"/>
    </row>
    <row r="568">
      <c r="B568" s="138"/>
      <c r="F568" s="138"/>
      <c r="G568" s="138"/>
      <c r="H568" s="138"/>
      <c r="T568" s="31"/>
    </row>
    <row r="569">
      <c r="B569" s="138"/>
      <c r="F569" s="138"/>
      <c r="G569" s="138"/>
      <c r="H569" s="138"/>
      <c r="T569" s="31"/>
    </row>
    <row r="570">
      <c r="B570" s="138"/>
      <c r="F570" s="138"/>
      <c r="G570" s="138"/>
      <c r="H570" s="138"/>
      <c r="T570" s="31"/>
    </row>
    <row r="571">
      <c r="B571" s="138"/>
      <c r="F571" s="138"/>
      <c r="G571" s="138"/>
      <c r="H571" s="138"/>
      <c r="T571" s="31"/>
    </row>
    <row r="572">
      <c r="B572" s="138"/>
      <c r="F572" s="138"/>
      <c r="G572" s="138"/>
      <c r="H572" s="138"/>
      <c r="T572" s="31"/>
    </row>
    <row r="573">
      <c r="B573" s="138"/>
      <c r="F573" s="138"/>
      <c r="G573" s="138"/>
      <c r="H573" s="138"/>
      <c r="T573" s="31"/>
    </row>
    <row r="574">
      <c r="B574" s="138"/>
      <c r="F574" s="138"/>
      <c r="G574" s="138"/>
      <c r="H574" s="138"/>
      <c r="T574" s="31"/>
    </row>
    <row r="575">
      <c r="B575" s="138"/>
      <c r="F575" s="138"/>
      <c r="G575" s="138"/>
      <c r="H575" s="138"/>
      <c r="T575" s="31"/>
    </row>
    <row r="576">
      <c r="B576" s="138"/>
      <c r="F576" s="138"/>
      <c r="G576" s="138"/>
      <c r="H576" s="138"/>
      <c r="T576" s="31"/>
    </row>
    <row r="577">
      <c r="B577" s="138"/>
      <c r="F577" s="138"/>
      <c r="G577" s="138"/>
      <c r="H577" s="138"/>
      <c r="T577" s="31"/>
    </row>
    <row r="578">
      <c r="B578" s="138"/>
      <c r="F578" s="138"/>
      <c r="G578" s="138"/>
      <c r="H578" s="138"/>
      <c r="T578" s="31"/>
    </row>
    <row r="579">
      <c r="B579" s="138"/>
      <c r="F579" s="138"/>
      <c r="G579" s="138"/>
      <c r="H579" s="138"/>
      <c r="T579" s="31"/>
    </row>
    <row r="580">
      <c r="B580" s="138"/>
      <c r="F580" s="138"/>
      <c r="G580" s="138"/>
      <c r="H580" s="138"/>
      <c r="T580" s="31"/>
    </row>
    <row r="581">
      <c r="B581" s="138"/>
      <c r="F581" s="138"/>
      <c r="G581" s="138"/>
      <c r="H581" s="138"/>
      <c r="T581" s="31"/>
    </row>
    <row r="582">
      <c r="B582" s="138"/>
      <c r="F582" s="138"/>
      <c r="G582" s="138"/>
      <c r="H582" s="138"/>
      <c r="T582" s="31"/>
    </row>
    <row r="583">
      <c r="B583" s="138"/>
      <c r="F583" s="138"/>
      <c r="G583" s="138"/>
      <c r="H583" s="138"/>
      <c r="T583" s="31"/>
    </row>
    <row r="584">
      <c r="B584" s="138"/>
      <c r="F584" s="138"/>
      <c r="G584" s="138"/>
      <c r="H584" s="138"/>
      <c r="T584" s="31"/>
    </row>
    <row r="585">
      <c r="B585" s="138"/>
      <c r="F585" s="138"/>
      <c r="G585" s="138"/>
      <c r="H585" s="138"/>
      <c r="T585" s="31"/>
    </row>
    <row r="586">
      <c r="B586" s="138"/>
      <c r="F586" s="138"/>
      <c r="G586" s="138"/>
      <c r="H586" s="138"/>
      <c r="T586" s="31"/>
    </row>
    <row r="587">
      <c r="B587" s="138"/>
      <c r="F587" s="138"/>
      <c r="G587" s="138"/>
      <c r="H587" s="138"/>
      <c r="T587" s="31"/>
    </row>
    <row r="588">
      <c r="B588" s="138"/>
      <c r="F588" s="138"/>
      <c r="G588" s="138"/>
      <c r="H588" s="138"/>
      <c r="T588" s="31"/>
    </row>
    <row r="589">
      <c r="B589" s="138"/>
      <c r="F589" s="138"/>
      <c r="G589" s="138"/>
      <c r="H589" s="138"/>
      <c r="T589" s="31"/>
    </row>
    <row r="590">
      <c r="B590" s="138"/>
      <c r="F590" s="138"/>
      <c r="G590" s="138"/>
      <c r="H590" s="138"/>
      <c r="T590" s="31"/>
    </row>
    <row r="591">
      <c r="B591" s="138"/>
      <c r="F591" s="138"/>
      <c r="G591" s="138"/>
      <c r="H591" s="138"/>
      <c r="T591" s="31"/>
    </row>
    <row r="592">
      <c r="B592" s="138"/>
      <c r="F592" s="138"/>
      <c r="G592" s="138"/>
      <c r="H592" s="138"/>
      <c r="T592" s="31"/>
    </row>
    <row r="593">
      <c r="B593" s="138"/>
      <c r="F593" s="138"/>
      <c r="G593" s="138"/>
      <c r="H593" s="138"/>
      <c r="T593" s="31"/>
    </row>
    <row r="594">
      <c r="B594" s="138"/>
      <c r="F594" s="138"/>
      <c r="G594" s="138"/>
      <c r="H594" s="138"/>
      <c r="T594" s="31"/>
    </row>
    <row r="595">
      <c r="B595" s="138"/>
      <c r="F595" s="138"/>
      <c r="G595" s="138"/>
      <c r="H595" s="138"/>
      <c r="T595" s="31"/>
    </row>
    <row r="596">
      <c r="B596" s="138"/>
      <c r="F596" s="138"/>
      <c r="G596" s="138"/>
      <c r="H596" s="138"/>
      <c r="T596" s="31"/>
    </row>
    <row r="597">
      <c r="B597" s="138"/>
      <c r="F597" s="138"/>
      <c r="G597" s="138"/>
      <c r="H597" s="138"/>
      <c r="T597" s="31"/>
    </row>
    <row r="598">
      <c r="B598" s="138"/>
      <c r="F598" s="138"/>
      <c r="G598" s="138"/>
      <c r="H598" s="138"/>
      <c r="T598" s="31"/>
    </row>
    <row r="599">
      <c r="B599" s="138"/>
      <c r="F599" s="138"/>
      <c r="G599" s="138"/>
      <c r="H599" s="138"/>
      <c r="T599" s="31"/>
    </row>
    <row r="600">
      <c r="B600" s="138"/>
      <c r="F600" s="138"/>
      <c r="G600" s="138"/>
      <c r="H600" s="138"/>
      <c r="T600" s="31"/>
    </row>
    <row r="601">
      <c r="B601" s="138"/>
      <c r="F601" s="138"/>
      <c r="G601" s="138"/>
      <c r="H601" s="138"/>
      <c r="T601" s="31"/>
    </row>
    <row r="602">
      <c r="B602" s="138"/>
      <c r="F602" s="138"/>
      <c r="G602" s="138"/>
      <c r="H602" s="138"/>
      <c r="T602" s="31"/>
    </row>
    <row r="603">
      <c r="B603" s="138"/>
      <c r="F603" s="138"/>
      <c r="G603" s="138"/>
      <c r="H603" s="138"/>
      <c r="T603" s="31"/>
    </row>
    <row r="604">
      <c r="B604" s="138"/>
      <c r="F604" s="138"/>
      <c r="G604" s="138"/>
      <c r="H604" s="138"/>
      <c r="T604" s="31"/>
    </row>
    <row r="605">
      <c r="B605" s="138"/>
      <c r="F605" s="138"/>
      <c r="G605" s="138"/>
      <c r="H605" s="138"/>
      <c r="T605" s="31"/>
    </row>
    <row r="606">
      <c r="B606" s="138"/>
      <c r="F606" s="138"/>
      <c r="G606" s="138"/>
      <c r="H606" s="138"/>
      <c r="T606" s="31"/>
    </row>
    <row r="607">
      <c r="B607" s="138"/>
      <c r="F607" s="138"/>
      <c r="G607" s="138"/>
      <c r="H607" s="138"/>
      <c r="T607" s="31"/>
    </row>
    <row r="608">
      <c r="B608" s="138"/>
      <c r="F608" s="138"/>
      <c r="G608" s="138"/>
      <c r="H608" s="138"/>
      <c r="T608" s="31"/>
    </row>
    <row r="609">
      <c r="B609" s="138"/>
      <c r="F609" s="138"/>
      <c r="G609" s="138"/>
      <c r="H609" s="138"/>
      <c r="T609" s="31"/>
    </row>
    <row r="610">
      <c r="B610" s="138"/>
      <c r="F610" s="138"/>
      <c r="G610" s="138"/>
      <c r="H610" s="138"/>
      <c r="T610" s="31"/>
    </row>
    <row r="611">
      <c r="B611" s="138"/>
      <c r="F611" s="138"/>
      <c r="G611" s="138"/>
      <c r="H611" s="138"/>
      <c r="T611" s="31"/>
    </row>
    <row r="612">
      <c r="B612" s="138"/>
      <c r="F612" s="138"/>
      <c r="G612" s="138"/>
      <c r="H612" s="138"/>
      <c r="T612" s="31"/>
    </row>
    <row r="613">
      <c r="B613" s="138"/>
      <c r="F613" s="138"/>
      <c r="G613" s="138"/>
      <c r="H613" s="138"/>
      <c r="T613" s="31"/>
    </row>
    <row r="614">
      <c r="B614" s="138"/>
      <c r="F614" s="138"/>
      <c r="G614" s="138"/>
      <c r="H614" s="138"/>
      <c r="T614" s="31"/>
    </row>
    <row r="615">
      <c r="B615" s="138"/>
      <c r="F615" s="138"/>
      <c r="G615" s="138"/>
      <c r="H615" s="138"/>
      <c r="T615" s="31"/>
    </row>
    <row r="616">
      <c r="B616" s="138"/>
      <c r="F616" s="138"/>
      <c r="G616" s="138"/>
      <c r="H616" s="138"/>
      <c r="T616" s="31"/>
    </row>
    <row r="617">
      <c r="B617" s="138"/>
      <c r="F617" s="138"/>
      <c r="G617" s="138"/>
      <c r="H617" s="138"/>
      <c r="T617" s="31"/>
    </row>
    <row r="618">
      <c r="B618" s="138"/>
      <c r="F618" s="138"/>
      <c r="G618" s="138"/>
      <c r="H618" s="138"/>
      <c r="T618" s="31"/>
    </row>
    <row r="619">
      <c r="B619" s="138"/>
      <c r="F619" s="138"/>
      <c r="G619" s="138"/>
      <c r="H619" s="138"/>
      <c r="T619" s="31"/>
    </row>
    <row r="620">
      <c r="B620" s="138"/>
      <c r="F620" s="138"/>
      <c r="G620" s="138"/>
      <c r="H620" s="138"/>
      <c r="T620" s="31"/>
    </row>
    <row r="621">
      <c r="B621" s="138"/>
      <c r="F621" s="138"/>
      <c r="G621" s="138"/>
      <c r="H621" s="138"/>
      <c r="T621" s="31"/>
    </row>
    <row r="622">
      <c r="B622" s="138"/>
      <c r="F622" s="138"/>
      <c r="G622" s="138"/>
      <c r="H622" s="138"/>
      <c r="T622" s="31"/>
    </row>
    <row r="623">
      <c r="B623" s="138"/>
      <c r="F623" s="138"/>
      <c r="G623" s="138"/>
      <c r="H623" s="138"/>
      <c r="T623" s="31"/>
    </row>
    <row r="624">
      <c r="B624" s="138"/>
      <c r="F624" s="138"/>
      <c r="G624" s="138"/>
      <c r="H624" s="138"/>
      <c r="T624" s="31"/>
    </row>
    <row r="625">
      <c r="B625" s="138"/>
      <c r="F625" s="138"/>
      <c r="G625" s="138"/>
      <c r="H625" s="138"/>
      <c r="T625" s="31"/>
    </row>
    <row r="626">
      <c r="B626" s="138"/>
      <c r="F626" s="138"/>
      <c r="G626" s="138"/>
      <c r="H626" s="138"/>
      <c r="T626" s="31"/>
    </row>
    <row r="627">
      <c r="B627" s="138"/>
      <c r="F627" s="138"/>
      <c r="G627" s="138"/>
      <c r="H627" s="138"/>
      <c r="T627" s="31"/>
    </row>
    <row r="628">
      <c r="B628" s="138"/>
      <c r="F628" s="138"/>
      <c r="G628" s="138"/>
      <c r="H628" s="138"/>
      <c r="T628" s="31"/>
    </row>
    <row r="629">
      <c r="B629" s="138"/>
      <c r="F629" s="138"/>
      <c r="G629" s="138"/>
      <c r="H629" s="138"/>
      <c r="T629" s="31"/>
    </row>
    <row r="630">
      <c r="B630" s="138"/>
      <c r="F630" s="138"/>
      <c r="G630" s="138"/>
      <c r="H630" s="138"/>
      <c r="T630" s="31"/>
    </row>
    <row r="631">
      <c r="B631" s="138"/>
      <c r="F631" s="138"/>
      <c r="G631" s="138"/>
      <c r="H631" s="138"/>
      <c r="T631" s="31"/>
    </row>
    <row r="632">
      <c r="B632" s="138"/>
      <c r="F632" s="138"/>
      <c r="G632" s="138"/>
      <c r="H632" s="138"/>
      <c r="T632" s="31"/>
    </row>
    <row r="633">
      <c r="B633" s="138"/>
      <c r="F633" s="138"/>
      <c r="G633" s="138"/>
      <c r="H633" s="138"/>
      <c r="T633" s="31"/>
    </row>
    <row r="634">
      <c r="B634" s="138"/>
      <c r="F634" s="138"/>
      <c r="G634" s="138"/>
      <c r="H634" s="138"/>
      <c r="T634" s="31"/>
    </row>
    <row r="635">
      <c r="B635" s="138"/>
      <c r="F635" s="138"/>
      <c r="G635" s="138"/>
      <c r="H635" s="138"/>
      <c r="T635" s="31"/>
    </row>
    <row r="636">
      <c r="B636" s="138"/>
      <c r="F636" s="138"/>
      <c r="G636" s="138"/>
      <c r="H636" s="138"/>
      <c r="T636" s="31"/>
    </row>
    <row r="637">
      <c r="B637" s="138"/>
      <c r="F637" s="138"/>
      <c r="G637" s="138"/>
      <c r="H637" s="138"/>
      <c r="T637" s="31"/>
    </row>
    <row r="638">
      <c r="B638" s="138"/>
      <c r="F638" s="138"/>
      <c r="G638" s="138"/>
      <c r="H638" s="138"/>
      <c r="T638" s="31"/>
    </row>
    <row r="639">
      <c r="B639" s="138"/>
      <c r="F639" s="138"/>
      <c r="G639" s="138"/>
      <c r="H639" s="138"/>
      <c r="T639" s="31"/>
    </row>
    <row r="640">
      <c r="B640" s="138"/>
      <c r="F640" s="138"/>
      <c r="G640" s="138"/>
      <c r="H640" s="138"/>
      <c r="T640" s="31"/>
    </row>
    <row r="641">
      <c r="B641" s="138"/>
      <c r="F641" s="138"/>
      <c r="G641" s="138"/>
      <c r="H641" s="138"/>
      <c r="T641" s="31"/>
    </row>
    <row r="642">
      <c r="B642" s="138"/>
      <c r="F642" s="138"/>
      <c r="G642" s="138"/>
      <c r="H642" s="138"/>
      <c r="T642" s="31"/>
    </row>
    <row r="643">
      <c r="B643" s="138"/>
      <c r="F643" s="138"/>
      <c r="G643" s="138"/>
      <c r="H643" s="138"/>
      <c r="T643" s="31"/>
    </row>
    <row r="644">
      <c r="B644" s="138"/>
      <c r="F644" s="138"/>
      <c r="G644" s="138"/>
      <c r="H644" s="138"/>
      <c r="T644" s="31"/>
    </row>
    <row r="645">
      <c r="B645" s="138"/>
      <c r="F645" s="138"/>
      <c r="G645" s="138"/>
      <c r="H645" s="138"/>
      <c r="T645" s="31"/>
    </row>
    <row r="646">
      <c r="B646" s="138"/>
      <c r="F646" s="138"/>
      <c r="G646" s="138"/>
      <c r="H646" s="138"/>
      <c r="T646" s="31"/>
    </row>
    <row r="647">
      <c r="B647" s="138"/>
      <c r="F647" s="138"/>
      <c r="G647" s="138"/>
      <c r="H647" s="138"/>
      <c r="T647" s="31"/>
    </row>
    <row r="648">
      <c r="B648" s="138"/>
      <c r="F648" s="138"/>
      <c r="G648" s="138"/>
      <c r="H648" s="138"/>
      <c r="T648" s="31"/>
    </row>
    <row r="649">
      <c r="B649" s="138"/>
      <c r="F649" s="138"/>
      <c r="G649" s="138"/>
      <c r="H649" s="138"/>
      <c r="T649" s="31"/>
    </row>
    <row r="650">
      <c r="B650" s="138"/>
      <c r="F650" s="138"/>
      <c r="G650" s="138"/>
      <c r="H650" s="138"/>
      <c r="T650" s="31"/>
    </row>
    <row r="651">
      <c r="B651" s="138"/>
      <c r="F651" s="138"/>
      <c r="G651" s="138"/>
      <c r="H651" s="138"/>
      <c r="T651" s="31"/>
    </row>
    <row r="652">
      <c r="B652" s="138"/>
      <c r="F652" s="138"/>
      <c r="G652" s="138"/>
      <c r="H652" s="138"/>
      <c r="T652" s="31"/>
    </row>
    <row r="653">
      <c r="B653" s="138"/>
      <c r="F653" s="138"/>
      <c r="G653" s="138"/>
      <c r="H653" s="138"/>
      <c r="T653" s="31"/>
    </row>
    <row r="654">
      <c r="B654" s="138"/>
      <c r="F654" s="138"/>
      <c r="G654" s="138"/>
      <c r="H654" s="138"/>
      <c r="T654" s="31"/>
    </row>
    <row r="655">
      <c r="B655" s="138"/>
      <c r="F655" s="138"/>
      <c r="G655" s="138"/>
      <c r="H655" s="138"/>
      <c r="T655" s="31"/>
    </row>
    <row r="656">
      <c r="B656" s="138"/>
      <c r="F656" s="138"/>
      <c r="G656" s="138"/>
      <c r="H656" s="138"/>
      <c r="T656" s="31"/>
    </row>
    <row r="657">
      <c r="B657" s="138"/>
      <c r="F657" s="138"/>
      <c r="G657" s="138"/>
      <c r="H657" s="138"/>
      <c r="T657" s="31"/>
    </row>
    <row r="658">
      <c r="B658" s="138"/>
      <c r="F658" s="138"/>
      <c r="G658" s="138"/>
      <c r="H658" s="138"/>
      <c r="T658" s="31"/>
    </row>
    <row r="659">
      <c r="B659" s="138"/>
      <c r="F659" s="138"/>
      <c r="G659" s="138"/>
      <c r="H659" s="138"/>
      <c r="T659" s="31"/>
    </row>
    <row r="660">
      <c r="B660" s="138"/>
      <c r="F660" s="138"/>
      <c r="G660" s="138"/>
      <c r="H660" s="138"/>
      <c r="T660" s="31"/>
    </row>
    <row r="661">
      <c r="B661" s="138"/>
      <c r="F661" s="138"/>
      <c r="G661" s="138"/>
      <c r="H661" s="138"/>
      <c r="T661" s="31"/>
    </row>
    <row r="662">
      <c r="B662" s="138"/>
      <c r="F662" s="138"/>
      <c r="G662" s="138"/>
      <c r="H662" s="138"/>
      <c r="T662" s="31"/>
    </row>
    <row r="663">
      <c r="B663" s="138"/>
      <c r="F663" s="138"/>
      <c r="G663" s="138"/>
      <c r="H663" s="138"/>
      <c r="T663" s="31"/>
    </row>
    <row r="664">
      <c r="B664" s="138"/>
      <c r="F664" s="138"/>
      <c r="G664" s="138"/>
      <c r="H664" s="138"/>
      <c r="T664" s="31"/>
    </row>
    <row r="665">
      <c r="B665" s="138"/>
      <c r="F665" s="138"/>
      <c r="G665" s="138"/>
      <c r="H665" s="138"/>
      <c r="T665" s="31"/>
    </row>
    <row r="666">
      <c r="B666" s="138"/>
      <c r="F666" s="138"/>
      <c r="G666" s="138"/>
      <c r="H666" s="138"/>
      <c r="T666" s="31"/>
    </row>
    <row r="667">
      <c r="B667" s="138"/>
      <c r="F667" s="138"/>
      <c r="G667" s="138"/>
      <c r="H667" s="138"/>
      <c r="T667" s="31"/>
    </row>
    <row r="668">
      <c r="B668" s="138"/>
      <c r="F668" s="138"/>
      <c r="G668" s="138"/>
      <c r="H668" s="138"/>
      <c r="T668" s="31"/>
    </row>
    <row r="669">
      <c r="B669" s="138"/>
      <c r="F669" s="138"/>
      <c r="G669" s="138"/>
      <c r="H669" s="138"/>
      <c r="T669" s="31"/>
    </row>
    <row r="670">
      <c r="B670" s="138"/>
      <c r="F670" s="138"/>
      <c r="G670" s="138"/>
      <c r="H670" s="138"/>
      <c r="T670" s="31"/>
    </row>
    <row r="671">
      <c r="B671" s="138"/>
      <c r="F671" s="138"/>
      <c r="G671" s="138"/>
      <c r="H671" s="138"/>
      <c r="T671" s="31"/>
    </row>
    <row r="672">
      <c r="B672" s="138"/>
      <c r="F672" s="138"/>
      <c r="G672" s="138"/>
      <c r="H672" s="138"/>
      <c r="T672" s="31"/>
    </row>
    <row r="673">
      <c r="B673" s="138"/>
      <c r="F673" s="138"/>
      <c r="G673" s="138"/>
      <c r="H673" s="138"/>
      <c r="T673" s="31"/>
    </row>
    <row r="674">
      <c r="B674" s="138"/>
      <c r="F674" s="138"/>
      <c r="G674" s="138"/>
      <c r="H674" s="138"/>
      <c r="T674" s="31"/>
    </row>
    <row r="675">
      <c r="B675" s="138"/>
      <c r="F675" s="138"/>
      <c r="G675" s="138"/>
      <c r="H675" s="138"/>
      <c r="T675" s="31"/>
    </row>
    <row r="676">
      <c r="B676" s="138"/>
      <c r="F676" s="138"/>
      <c r="G676" s="138"/>
      <c r="H676" s="138"/>
      <c r="T676" s="31"/>
    </row>
    <row r="677">
      <c r="B677" s="138"/>
      <c r="F677" s="138"/>
      <c r="G677" s="138"/>
      <c r="H677" s="138"/>
      <c r="T677" s="31"/>
    </row>
    <row r="678">
      <c r="B678" s="138"/>
      <c r="F678" s="138"/>
      <c r="G678" s="138"/>
      <c r="H678" s="138"/>
      <c r="T678" s="31"/>
    </row>
    <row r="679">
      <c r="B679" s="138"/>
      <c r="F679" s="138"/>
      <c r="G679" s="138"/>
      <c r="H679" s="138"/>
      <c r="T679" s="31"/>
    </row>
    <row r="680">
      <c r="B680" s="138"/>
      <c r="F680" s="138"/>
      <c r="G680" s="138"/>
      <c r="H680" s="138"/>
      <c r="T680" s="31"/>
    </row>
    <row r="681">
      <c r="B681" s="138"/>
      <c r="F681" s="138"/>
      <c r="G681" s="138"/>
      <c r="H681" s="138"/>
      <c r="T681" s="31"/>
    </row>
    <row r="682">
      <c r="B682" s="138"/>
      <c r="F682" s="138"/>
      <c r="G682" s="138"/>
      <c r="H682" s="138"/>
      <c r="T682" s="31"/>
    </row>
    <row r="683">
      <c r="B683" s="138"/>
      <c r="F683" s="138"/>
      <c r="G683" s="138"/>
      <c r="H683" s="138"/>
      <c r="T683" s="31"/>
    </row>
    <row r="684">
      <c r="B684" s="138"/>
      <c r="F684" s="138"/>
      <c r="G684" s="138"/>
      <c r="H684" s="138"/>
      <c r="T684" s="31"/>
    </row>
    <row r="685">
      <c r="B685" s="138"/>
      <c r="F685" s="138"/>
      <c r="G685" s="138"/>
      <c r="H685" s="138"/>
      <c r="T685" s="31"/>
    </row>
    <row r="686">
      <c r="B686" s="138"/>
      <c r="F686" s="138"/>
      <c r="G686" s="138"/>
      <c r="H686" s="138"/>
      <c r="T686" s="31"/>
    </row>
    <row r="687">
      <c r="B687" s="138"/>
      <c r="F687" s="138"/>
      <c r="G687" s="138"/>
      <c r="H687" s="138"/>
      <c r="T687" s="31"/>
    </row>
    <row r="688">
      <c r="B688" s="138"/>
      <c r="F688" s="138"/>
      <c r="G688" s="138"/>
      <c r="H688" s="138"/>
      <c r="T688" s="31"/>
    </row>
    <row r="689">
      <c r="B689" s="138"/>
      <c r="F689" s="138"/>
      <c r="G689" s="138"/>
      <c r="H689" s="138"/>
      <c r="T689" s="31"/>
    </row>
    <row r="690">
      <c r="B690" s="138"/>
      <c r="F690" s="138"/>
      <c r="G690" s="138"/>
      <c r="H690" s="138"/>
      <c r="T690" s="31"/>
    </row>
    <row r="691">
      <c r="B691" s="138"/>
      <c r="F691" s="138"/>
      <c r="G691" s="138"/>
      <c r="H691" s="138"/>
      <c r="T691" s="31"/>
    </row>
    <row r="692">
      <c r="B692" s="138"/>
      <c r="F692" s="138"/>
      <c r="G692" s="138"/>
      <c r="H692" s="138"/>
      <c r="T692" s="31"/>
    </row>
    <row r="693">
      <c r="B693" s="138"/>
      <c r="F693" s="138"/>
      <c r="G693" s="138"/>
      <c r="H693" s="138"/>
      <c r="T693" s="31"/>
    </row>
    <row r="694">
      <c r="B694" s="138"/>
      <c r="F694" s="138"/>
      <c r="G694" s="138"/>
      <c r="H694" s="138"/>
      <c r="T694" s="31"/>
    </row>
    <row r="695">
      <c r="B695" s="138"/>
      <c r="F695" s="138"/>
      <c r="G695" s="138"/>
      <c r="H695" s="138"/>
      <c r="T695" s="31"/>
    </row>
    <row r="696">
      <c r="B696" s="138"/>
      <c r="F696" s="138"/>
      <c r="G696" s="138"/>
      <c r="H696" s="138"/>
      <c r="T696" s="31"/>
    </row>
    <row r="697">
      <c r="B697" s="138"/>
      <c r="F697" s="138"/>
      <c r="G697" s="138"/>
      <c r="H697" s="138"/>
      <c r="T697" s="31"/>
    </row>
    <row r="698">
      <c r="B698" s="138"/>
      <c r="F698" s="138"/>
      <c r="G698" s="138"/>
      <c r="H698" s="138"/>
      <c r="T698" s="31"/>
    </row>
    <row r="699">
      <c r="B699" s="138"/>
      <c r="F699" s="138"/>
      <c r="G699" s="138"/>
      <c r="H699" s="138"/>
      <c r="T699" s="31"/>
    </row>
    <row r="700">
      <c r="B700" s="138"/>
      <c r="F700" s="138"/>
      <c r="G700" s="138"/>
      <c r="H700" s="138"/>
      <c r="T700" s="31"/>
    </row>
    <row r="701">
      <c r="B701" s="138"/>
      <c r="F701" s="138"/>
      <c r="G701" s="138"/>
      <c r="H701" s="138"/>
      <c r="T701" s="31"/>
    </row>
    <row r="702">
      <c r="B702" s="138"/>
      <c r="F702" s="138"/>
      <c r="G702" s="138"/>
      <c r="H702" s="138"/>
      <c r="T702" s="31"/>
    </row>
    <row r="703">
      <c r="B703" s="138"/>
      <c r="F703" s="138"/>
      <c r="G703" s="138"/>
      <c r="H703" s="138"/>
      <c r="T703" s="31"/>
    </row>
    <row r="704">
      <c r="B704" s="138"/>
      <c r="F704" s="138"/>
      <c r="G704" s="138"/>
      <c r="H704" s="138"/>
      <c r="T704" s="31"/>
    </row>
    <row r="705">
      <c r="B705" s="138"/>
      <c r="F705" s="138"/>
      <c r="G705" s="138"/>
      <c r="H705" s="138"/>
      <c r="T705" s="31"/>
    </row>
    <row r="706">
      <c r="B706" s="138"/>
      <c r="F706" s="138"/>
      <c r="G706" s="138"/>
      <c r="H706" s="138"/>
      <c r="T706" s="31"/>
    </row>
    <row r="707">
      <c r="B707" s="138"/>
      <c r="F707" s="138"/>
      <c r="G707" s="138"/>
      <c r="H707" s="138"/>
      <c r="T707" s="31"/>
    </row>
    <row r="708">
      <c r="B708" s="138"/>
      <c r="F708" s="138"/>
      <c r="G708" s="138"/>
      <c r="H708" s="138"/>
      <c r="T708" s="31"/>
    </row>
    <row r="709">
      <c r="B709" s="138"/>
      <c r="F709" s="138"/>
      <c r="G709" s="138"/>
      <c r="H709" s="138"/>
      <c r="T709" s="31"/>
    </row>
    <row r="710">
      <c r="B710" s="138"/>
      <c r="F710" s="138"/>
      <c r="G710" s="138"/>
      <c r="H710" s="138"/>
      <c r="T710" s="31"/>
    </row>
    <row r="711">
      <c r="B711" s="138"/>
      <c r="F711" s="138"/>
      <c r="G711" s="138"/>
      <c r="H711" s="138"/>
      <c r="T711" s="31"/>
    </row>
    <row r="712">
      <c r="B712" s="138"/>
      <c r="F712" s="138"/>
      <c r="G712" s="138"/>
      <c r="H712" s="138"/>
      <c r="T712" s="31"/>
    </row>
    <row r="713">
      <c r="B713" s="138"/>
      <c r="F713" s="138"/>
      <c r="G713" s="138"/>
      <c r="H713" s="138"/>
      <c r="T713" s="31"/>
    </row>
    <row r="714">
      <c r="B714" s="138"/>
      <c r="F714" s="138"/>
      <c r="G714" s="138"/>
      <c r="H714" s="138"/>
      <c r="T714" s="31"/>
    </row>
    <row r="715">
      <c r="B715" s="138"/>
      <c r="F715" s="138"/>
      <c r="G715" s="138"/>
      <c r="H715" s="138"/>
      <c r="T715" s="31"/>
    </row>
    <row r="716">
      <c r="B716" s="138"/>
      <c r="F716" s="138"/>
      <c r="G716" s="138"/>
      <c r="H716" s="138"/>
      <c r="T716" s="31"/>
    </row>
    <row r="717">
      <c r="B717" s="138"/>
      <c r="F717" s="138"/>
      <c r="G717" s="138"/>
      <c r="H717" s="138"/>
      <c r="T717" s="31"/>
    </row>
    <row r="718">
      <c r="B718" s="138"/>
      <c r="F718" s="138"/>
      <c r="G718" s="138"/>
      <c r="H718" s="138"/>
      <c r="T718" s="31"/>
    </row>
    <row r="719">
      <c r="B719" s="138"/>
      <c r="F719" s="138"/>
      <c r="G719" s="138"/>
      <c r="H719" s="138"/>
      <c r="T719" s="31"/>
    </row>
    <row r="720">
      <c r="B720" s="138"/>
      <c r="F720" s="138"/>
      <c r="G720" s="138"/>
      <c r="H720" s="138"/>
      <c r="T720" s="31"/>
    </row>
    <row r="721">
      <c r="B721" s="138"/>
      <c r="F721" s="138"/>
      <c r="G721" s="138"/>
      <c r="H721" s="138"/>
      <c r="T721" s="31"/>
    </row>
    <row r="722">
      <c r="B722" s="138"/>
      <c r="F722" s="138"/>
      <c r="G722" s="138"/>
      <c r="H722" s="138"/>
      <c r="T722" s="31"/>
    </row>
    <row r="723">
      <c r="B723" s="138"/>
      <c r="F723" s="138"/>
      <c r="G723" s="138"/>
      <c r="H723" s="138"/>
      <c r="T723" s="31"/>
    </row>
    <row r="724">
      <c r="B724" s="138"/>
      <c r="F724" s="138"/>
      <c r="G724" s="138"/>
      <c r="H724" s="138"/>
      <c r="T724" s="31"/>
    </row>
    <row r="725">
      <c r="B725" s="138"/>
      <c r="F725" s="138"/>
      <c r="G725" s="138"/>
      <c r="H725" s="138"/>
      <c r="T725" s="31"/>
    </row>
    <row r="726">
      <c r="B726" s="138"/>
      <c r="F726" s="138"/>
      <c r="G726" s="138"/>
      <c r="H726" s="138"/>
      <c r="T726" s="31"/>
    </row>
    <row r="727">
      <c r="B727" s="138"/>
      <c r="F727" s="138"/>
      <c r="G727" s="138"/>
      <c r="H727" s="138"/>
      <c r="T727" s="31"/>
    </row>
    <row r="728">
      <c r="B728" s="138"/>
      <c r="F728" s="138"/>
      <c r="G728" s="138"/>
      <c r="H728" s="138"/>
      <c r="T728" s="31"/>
    </row>
    <row r="729">
      <c r="B729" s="138"/>
      <c r="F729" s="138"/>
      <c r="G729" s="138"/>
      <c r="H729" s="138"/>
      <c r="T729" s="31"/>
    </row>
    <row r="730">
      <c r="B730" s="138"/>
      <c r="F730" s="138"/>
      <c r="G730" s="138"/>
      <c r="H730" s="138"/>
      <c r="T730" s="31"/>
    </row>
    <row r="731">
      <c r="B731" s="138"/>
      <c r="F731" s="138"/>
      <c r="G731" s="138"/>
      <c r="H731" s="138"/>
      <c r="T731" s="31"/>
    </row>
    <row r="732">
      <c r="B732" s="138"/>
      <c r="F732" s="138"/>
      <c r="G732" s="138"/>
      <c r="H732" s="138"/>
      <c r="T732" s="31"/>
    </row>
    <row r="733">
      <c r="B733" s="138"/>
      <c r="F733" s="138"/>
      <c r="G733" s="138"/>
      <c r="H733" s="138"/>
      <c r="T733" s="31"/>
    </row>
    <row r="734">
      <c r="B734" s="138"/>
      <c r="F734" s="138"/>
      <c r="G734" s="138"/>
      <c r="H734" s="138"/>
      <c r="T734" s="31"/>
    </row>
    <row r="735">
      <c r="B735" s="138"/>
      <c r="F735" s="138"/>
      <c r="G735" s="138"/>
      <c r="H735" s="138"/>
      <c r="T735" s="31"/>
    </row>
    <row r="736">
      <c r="B736" s="138"/>
      <c r="F736" s="138"/>
      <c r="G736" s="138"/>
      <c r="H736" s="138"/>
      <c r="T736" s="31"/>
    </row>
    <row r="737">
      <c r="B737" s="138"/>
      <c r="F737" s="138"/>
      <c r="G737" s="138"/>
      <c r="H737" s="138"/>
      <c r="T737" s="31"/>
    </row>
    <row r="738">
      <c r="B738" s="138"/>
      <c r="F738" s="138"/>
      <c r="G738" s="138"/>
      <c r="H738" s="138"/>
      <c r="T738" s="31"/>
    </row>
    <row r="739">
      <c r="B739" s="138"/>
      <c r="F739" s="138"/>
      <c r="G739" s="138"/>
      <c r="H739" s="138"/>
      <c r="T739" s="31"/>
    </row>
    <row r="740">
      <c r="B740" s="138"/>
      <c r="F740" s="138"/>
      <c r="G740" s="138"/>
      <c r="H740" s="138"/>
      <c r="T740" s="31"/>
    </row>
    <row r="741">
      <c r="B741" s="138"/>
      <c r="F741" s="138"/>
      <c r="G741" s="138"/>
      <c r="H741" s="138"/>
      <c r="T741" s="31"/>
    </row>
    <row r="742">
      <c r="B742" s="138"/>
      <c r="F742" s="138"/>
      <c r="G742" s="138"/>
      <c r="H742" s="138"/>
      <c r="T742" s="31"/>
    </row>
    <row r="743">
      <c r="B743" s="138"/>
      <c r="F743" s="138"/>
      <c r="G743" s="138"/>
      <c r="H743" s="138"/>
      <c r="T743" s="31"/>
    </row>
    <row r="744">
      <c r="B744" s="138"/>
      <c r="F744" s="138"/>
      <c r="G744" s="138"/>
      <c r="H744" s="138"/>
      <c r="T744" s="31"/>
    </row>
    <row r="745">
      <c r="B745" s="138"/>
      <c r="F745" s="138"/>
      <c r="G745" s="138"/>
      <c r="H745" s="138"/>
      <c r="T745" s="31"/>
    </row>
    <row r="746">
      <c r="B746" s="138"/>
      <c r="F746" s="138"/>
      <c r="G746" s="138"/>
      <c r="H746" s="138"/>
      <c r="T746" s="31"/>
    </row>
    <row r="747">
      <c r="B747" s="138"/>
      <c r="F747" s="138"/>
      <c r="G747" s="138"/>
      <c r="H747" s="138"/>
      <c r="T747" s="31"/>
    </row>
    <row r="748">
      <c r="B748" s="138"/>
      <c r="F748" s="138"/>
      <c r="G748" s="138"/>
      <c r="H748" s="138"/>
      <c r="T748" s="31"/>
    </row>
    <row r="749">
      <c r="B749" s="138"/>
      <c r="F749" s="138"/>
      <c r="G749" s="138"/>
      <c r="H749" s="138"/>
      <c r="T749" s="31"/>
    </row>
    <row r="750">
      <c r="B750" s="138"/>
      <c r="F750" s="138"/>
      <c r="G750" s="138"/>
      <c r="H750" s="138"/>
      <c r="T750" s="31"/>
    </row>
    <row r="751">
      <c r="B751" s="138"/>
      <c r="F751" s="138"/>
      <c r="G751" s="138"/>
      <c r="H751" s="138"/>
      <c r="T751" s="31"/>
    </row>
    <row r="752">
      <c r="B752" s="138"/>
      <c r="F752" s="138"/>
      <c r="G752" s="138"/>
      <c r="H752" s="138"/>
      <c r="T752" s="31"/>
    </row>
    <row r="753">
      <c r="B753" s="138"/>
      <c r="F753" s="138"/>
      <c r="G753" s="138"/>
      <c r="H753" s="138"/>
      <c r="T753" s="31"/>
    </row>
    <row r="754">
      <c r="B754" s="138"/>
      <c r="F754" s="138"/>
      <c r="G754" s="138"/>
      <c r="H754" s="138"/>
      <c r="T754" s="31"/>
    </row>
    <row r="755">
      <c r="B755" s="138"/>
      <c r="F755" s="138"/>
      <c r="G755" s="138"/>
      <c r="H755" s="138"/>
      <c r="T755" s="31"/>
    </row>
    <row r="756">
      <c r="B756" s="138"/>
      <c r="F756" s="138"/>
      <c r="G756" s="138"/>
      <c r="H756" s="138"/>
      <c r="T756" s="31"/>
    </row>
    <row r="757">
      <c r="B757" s="138"/>
      <c r="F757" s="138"/>
      <c r="G757" s="138"/>
      <c r="H757" s="138"/>
      <c r="T757" s="31"/>
    </row>
    <row r="758">
      <c r="B758" s="138"/>
      <c r="F758" s="138"/>
      <c r="G758" s="138"/>
      <c r="H758" s="138"/>
      <c r="T758" s="31"/>
    </row>
    <row r="759">
      <c r="B759" s="138"/>
      <c r="F759" s="138"/>
      <c r="G759" s="138"/>
      <c r="H759" s="138"/>
      <c r="T759" s="31"/>
    </row>
    <row r="760">
      <c r="B760" s="138"/>
      <c r="F760" s="138"/>
      <c r="G760" s="138"/>
      <c r="H760" s="138"/>
      <c r="T760" s="31"/>
    </row>
    <row r="761">
      <c r="B761" s="138"/>
      <c r="F761" s="138"/>
      <c r="G761" s="138"/>
      <c r="H761" s="138"/>
      <c r="T761" s="31"/>
    </row>
    <row r="762">
      <c r="B762" s="138"/>
      <c r="F762" s="138"/>
      <c r="G762" s="138"/>
      <c r="H762" s="138"/>
      <c r="T762" s="31"/>
    </row>
    <row r="763">
      <c r="B763" s="138"/>
      <c r="F763" s="138"/>
      <c r="G763" s="138"/>
      <c r="H763" s="138"/>
      <c r="T763" s="31"/>
    </row>
    <row r="764">
      <c r="B764" s="138"/>
      <c r="F764" s="138"/>
      <c r="G764" s="138"/>
      <c r="H764" s="138"/>
      <c r="T764" s="31"/>
    </row>
    <row r="765">
      <c r="B765" s="138"/>
      <c r="F765" s="138"/>
      <c r="G765" s="138"/>
      <c r="H765" s="138"/>
      <c r="T765" s="31"/>
    </row>
    <row r="766">
      <c r="B766" s="138"/>
      <c r="F766" s="138"/>
      <c r="G766" s="138"/>
      <c r="H766" s="138"/>
      <c r="T766" s="31"/>
    </row>
    <row r="767">
      <c r="B767" s="138"/>
      <c r="F767" s="138"/>
      <c r="G767" s="138"/>
      <c r="H767" s="138"/>
      <c r="T767" s="31"/>
    </row>
    <row r="768">
      <c r="B768" s="138"/>
      <c r="F768" s="138"/>
      <c r="G768" s="138"/>
      <c r="H768" s="138"/>
      <c r="T768" s="31"/>
    </row>
    <row r="769">
      <c r="B769" s="138"/>
      <c r="F769" s="138"/>
      <c r="G769" s="138"/>
      <c r="H769" s="138"/>
      <c r="T769" s="31"/>
    </row>
    <row r="770">
      <c r="B770" s="138"/>
      <c r="F770" s="138"/>
      <c r="G770" s="138"/>
      <c r="H770" s="138"/>
      <c r="T770" s="31"/>
    </row>
    <row r="771">
      <c r="B771" s="138"/>
      <c r="F771" s="138"/>
      <c r="G771" s="138"/>
      <c r="H771" s="138"/>
      <c r="T771" s="31"/>
    </row>
    <row r="772">
      <c r="B772" s="138"/>
      <c r="F772" s="138"/>
      <c r="G772" s="138"/>
      <c r="H772" s="138"/>
      <c r="T772" s="31"/>
    </row>
    <row r="773">
      <c r="B773" s="138"/>
      <c r="F773" s="138"/>
      <c r="G773" s="138"/>
      <c r="H773" s="138"/>
      <c r="T773" s="31"/>
    </row>
    <row r="774">
      <c r="B774" s="138"/>
      <c r="F774" s="138"/>
      <c r="G774" s="138"/>
      <c r="H774" s="138"/>
      <c r="T774" s="31"/>
    </row>
    <row r="775">
      <c r="B775" s="138"/>
      <c r="F775" s="138"/>
      <c r="G775" s="138"/>
      <c r="H775" s="138"/>
      <c r="T775" s="31"/>
    </row>
    <row r="776">
      <c r="B776" s="138"/>
      <c r="F776" s="138"/>
      <c r="G776" s="138"/>
      <c r="H776" s="138"/>
      <c r="T776" s="31"/>
    </row>
    <row r="777">
      <c r="B777" s="138"/>
      <c r="F777" s="138"/>
      <c r="G777" s="138"/>
      <c r="H777" s="138"/>
      <c r="T777" s="31"/>
    </row>
    <row r="778">
      <c r="B778" s="138"/>
      <c r="F778" s="138"/>
      <c r="G778" s="138"/>
      <c r="H778" s="138"/>
      <c r="T778" s="31"/>
    </row>
    <row r="779">
      <c r="B779" s="138"/>
      <c r="F779" s="138"/>
      <c r="G779" s="138"/>
      <c r="H779" s="138"/>
      <c r="T779" s="31"/>
    </row>
    <row r="780">
      <c r="B780" s="138"/>
      <c r="F780" s="138"/>
      <c r="G780" s="138"/>
      <c r="H780" s="138"/>
      <c r="T780" s="31"/>
    </row>
    <row r="781">
      <c r="B781" s="138"/>
      <c r="F781" s="138"/>
      <c r="G781" s="138"/>
      <c r="H781" s="138"/>
      <c r="T781" s="31"/>
    </row>
    <row r="782">
      <c r="B782" s="138"/>
      <c r="F782" s="138"/>
      <c r="G782" s="138"/>
      <c r="H782" s="138"/>
      <c r="T782" s="31"/>
    </row>
    <row r="783">
      <c r="B783" s="138"/>
      <c r="F783" s="138"/>
      <c r="G783" s="138"/>
      <c r="H783" s="138"/>
      <c r="T783" s="31"/>
    </row>
    <row r="784">
      <c r="B784" s="138"/>
      <c r="F784" s="138"/>
      <c r="G784" s="138"/>
      <c r="H784" s="138"/>
      <c r="T784" s="31"/>
    </row>
    <row r="785">
      <c r="B785" s="138"/>
      <c r="F785" s="138"/>
      <c r="G785" s="138"/>
      <c r="H785" s="138"/>
      <c r="T785" s="31"/>
    </row>
    <row r="786">
      <c r="B786" s="138"/>
      <c r="F786" s="138"/>
      <c r="G786" s="138"/>
      <c r="H786" s="138"/>
      <c r="T786" s="31"/>
    </row>
    <row r="787">
      <c r="B787" s="138"/>
      <c r="F787" s="138"/>
      <c r="G787" s="138"/>
      <c r="H787" s="138"/>
      <c r="T787" s="31"/>
    </row>
    <row r="788">
      <c r="B788" s="138"/>
      <c r="F788" s="138"/>
      <c r="G788" s="138"/>
      <c r="H788" s="138"/>
      <c r="T788" s="31"/>
    </row>
    <row r="789">
      <c r="B789" s="138"/>
      <c r="F789" s="138"/>
      <c r="G789" s="138"/>
      <c r="H789" s="138"/>
      <c r="T789" s="31"/>
    </row>
    <row r="790">
      <c r="B790" s="138"/>
      <c r="F790" s="138"/>
      <c r="G790" s="138"/>
      <c r="H790" s="138"/>
      <c r="T790" s="31"/>
    </row>
    <row r="791">
      <c r="B791" s="138"/>
      <c r="F791" s="138"/>
      <c r="G791" s="138"/>
      <c r="H791" s="138"/>
      <c r="T791" s="31"/>
    </row>
    <row r="792">
      <c r="B792" s="138"/>
      <c r="F792" s="138"/>
      <c r="G792" s="138"/>
      <c r="H792" s="138"/>
      <c r="T792" s="31"/>
    </row>
    <row r="793">
      <c r="B793" s="138"/>
      <c r="F793" s="138"/>
      <c r="G793" s="138"/>
      <c r="H793" s="138"/>
      <c r="T793" s="31"/>
    </row>
    <row r="794">
      <c r="B794" s="138"/>
      <c r="F794" s="138"/>
      <c r="G794" s="138"/>
      <c r="H794" s="138"/>
      <c r="T794" s="31"/>
    </row>
    <row r="795">
      <c r="B795" s="138"/>
      <c r="F795" s="138"/>
      <c r="G795" s="138"/>
      <c r="H795" s="138"/>
      <c r="T795" s="31"/>
    </row>
    <row r="796">
      <c r="B796" s="138"/>
      <c r="F796" s="138"/>
      <c r="G796" s="138"/>
      <c r="H796" s="138"/>
      <c r="T796" s="31"/>
    </row>
    <row r="797">
      <c r="B797" s="138"/>
      <c r="F797" s="138"/>
      <c r="G797" s="138"/>
      <c r="H797" s="138"/>
      <c r="T797" s="31"/>
    </row>
    <row r="798">
      <c r="B798" s="138"/>
      <c r="F798" s="138"/>
      <c r="G798" s="138"/>
      <c r="H798" s="138"/>
      <c r="T798" s="31"/>
    </row>
    <row r="799">
      <c r="B799" s="138"/>
      <c r="F799" s="138"/>
      <c r="G799" s="138"/>
      <c r="H799" s="138"/>
      <c r="T799" s="31"/>
    </row>
    <row r="800">
      <c r="B800" s="138"/>
      <c r="F800" s="138"/>
      <c r="G800" s="138"/>
      <c r="H800" s="138"/>
      <c r="T800" s="31"/>
    </row>
    <row r="801">
      <c r="B801" s="138"/>
      <c r="F801" s="138"/>
      <c r="G801" s="138"/>
      <c r="H801" s="138"/>
      <c r="T801" s="31"/>
    </row>
    <row r="802">
      <c r="B802" s="138"/>
      <c r="F802" s="138"/>
      <c r="G802" s="138"/>
      <c r="H802" s="138"/>
      <c r="T802" s="31"/>
    </row>
    <row r="803">
      <c r="B803" s="138"/>
      <c r="F803" s="138"/>
      <c r="G803" s="138"/>
      <c r="H803" s="138"/>
      <c r="T803" s="31"/>
    </row>
    <row r="804">
      <c r="B804" s="138"/>
      <c r="F804" s="138"/>
      <c r="G804" s="138"/>
      <c r="H804" s="138"/>
      <c r="T804" s="31"/>
    </row>
    <row r="805">
      <c r="B805" s="138"/>
      <c r="F805" s="138"/>
      <c r="G805" s="138"/>
      <c r="H805" s="138"/>
      <c r="T805" s="31"/>
    </row>
    <row r="806">
      <c r="B806" s="138"/>
      <c r="F806" s="138"/>
      <c r="G806" s="138"/>
      <c r="H806" s="138"/>
      <c r="T806" s="31"/>
    </row>
    <row r="807">
      <c r="B807" s="138"/>
      <c r="F807" s="138"/>
      <c r="G807" s="138"/>
      <c r="H807" s="138"/>
      <c r="T807" s="31"/>
    </row>
    <row r="808">
      <c r="B808" s="138"/>
      <c r="F808" s="138"/>
      <c r="G808" s="138"/>
      <c r="H808" s="138"/>
      <c r="T808" s="31"/>
    </row>
    <row r="809">
      <c r="B809" s="138"/>
      <c r="F809" s="138"/>
      <c r="G809" s="138"/>
      <c r="H809" s="138"/>
      <c r="T809" s="31"/>
    </row>
    <row r="810">
      <c r="B810" s="138"/>
      <c r="F810" s="138"/>
      <c r="G810" s="138"/>
      <c r="H810" s="138"/>
      <c r="T810" s="31"/>
    </row>
    <row r="811">
      <c r="B811" s="138"/>
      <c r="F811" s="138"/>
      <c r="G811" s="138"/>
      <c r="H811" s="138"/>
      <c r="T811" s="31"/>
    </row>
    <row r="812">
      <c r="B812" s="138"/>
      <c r="F812" s="138"/>
      <c r="G812" s="138"/>
      <c r="H812" s="138"/>
      <c r="T812" s="31"/>
    </row>
    <row r="813">
      <c r="B813" s="138"/>
      <c r="F813" s="138"/>
      <c r="G813" s="138"/>
      <c r="H813" s="138"/>
      <c r="T813" s="31"/>
    </row>
    <row r="814">
      <c r="B814" s="138"/>
      <c r="F814" s="138"/>
      <c r="G814" s="138"/>
      <c r="H814" s="138"/>
      <c r="T814" s="31"/>
    </row>
    <row r="815">
      <c r="B815" s="138"/>
      <c r="F815" s="138"/>
      <c r="G815" s="138"/>
      <c r="H815" s="138"/>
      <c r="T815" s="31"/>
    </row>
    <row r="816">
      <c r="B816" s="138"/>
      <c r="F816" s="138"/>
      <c r="G816" s="138"/>
      <c r="H816" s="138"/>
      <c r="T816" s="31"/>
    </row>
    <row r="817">
      <c r="B817" s="138"/>
      <c r="F817" s="138"/>
      <c r="G817" s="138"/>
      <c r="H817" s="138"/>
      <c r="T817" s="31"/>
    </row>
    <row r="818">
      <c r="B818" s="138"/>
      <c r="F818" s="138"/>
      <c r="G818" s="138"/>
      <c r="H818" s="138"/>
      <c r="T818" s="31"/>
    </row>
    <row r="819">
      <c r="B819" s="138"/>
      <c r="F819" s="138"/>
      <c r="G819" s="138"/>
      <c r="H819" s="138"/>
      <c r="T819" s="31"/>
    </row>
    <row r="820">
      <c r="B820" s="138"/>
      <c r="F820" s="138"/>
      <c r="G820" s="138"/>
      <c r="H820" s="138"/>
      <c r="T820" s="31"/>
    </row>
    <row r="821">
      <c r="B821" s="138"/>
      <c r="F821" s="138"/>
      <c r="G821" s="138"/>
      <c r="H821" s="138"/>
      <c r="T821" s="31"/>
    </row>
    <row r="822">
      <c r="B822" s="138"/>
      <c r="F822" s="138"/>
      <c r="G822" s="138"/>
      <c r="H822" s="138"/>
      <c r="T822" s="31"/>
    </row>
    <row r="823">
      <c r="B823" s="138"/>
      <c r="F823" s="138"/>
      <c r="G823" s="138"/>
      <c r="H823" s="138"/>
      <c r="T823" s="31"/>
    </row>
    <row r="824">
      <c r="B824" s="138"/>
      <c r="F824" s="138"/>
      <c r="G824" s="138"/>
      <c r="H824" s="138"/>
      <c r="T824" s="31"/>
    </row>
    <row r="825">
      <c r="B825" s="138"/>
      <c r="F825" s="138"/>
      <c r="G825" s="138"/>
      <c r="H825" s="138"/>
      <c r="T825" s="31"/>
    </row>
    <row r="826">
      <c r="B826" s="138"/>
      <c r="F826" s="138"/>
      <c r="G826" s="138"/>
      <c r="H826" s="138"/>
      <c r="T826" s="31"/>
    </row>
    <row r="827">
      <c r="B827" s="138"/>
      <c r="F827" s="138"/>
      <c r="G827" s="138"/>
      <c r="H827" s="138"/>
      <c r="T827" s="31"/>
    </row>
    <row r="828">
      <c r="B828" s="138"/>
      <c r="F828" s="138"/>
      <c r="G828" s="138"/>
      <c r="H828" s="138"/>
      <c r="T828" s="31"/>
    </row>
    <row r="829">
      <c r="B829" s="138"/>
      <c r="F829" s="138"/>
      <c r="G829" s="138"/>
      <c r="H829" s="138"/>
      <c r="T829" s="31"/>
    </row>
    <row r="830">
      <c r="B830" s="138"/>
      <c r="F830" s="138"/>
      <c r="G830" s="138"/>
      <c r="H830" s="138"/>
      <c r="T830" s="31"/>
    </row>
    <row r="831">
      <c r="B831" s="138"/>
      <c r="F831" s="138"/>
      <c r="G831" s="138"/>
      <c r="H831" s="138"/>
      <c r="T831" s="31"/>
    </row>
    <row r="832">
      <c r="B832" s="138"/>
      <c r="F832" s="138"/>
      <c r="G832" s="138"/>
      <c r="H832" s="138"/>
      <c r="T832" s="31"/>
    </row>
    <row r="833">
      <c r="B833" s="138"/>
      <c r="F833" s="138"/>
      <c r="G833" s="138"/>
      <c r="H833" s="138"/>
      <c r="T833" s="31"/>
    </row>
    <row r="834">
      <c r="B834" s="138"/>
      <c r="F834" s="138"/>
      <c r="G834" s="138"/>
      <c r="H834" s="138"/>
      <c r="T834" s="31"/>
    </row>
    <row r="835">
      <c r="B835" s="138"/>
      <c r="F835" s="138"/>
      <c r="G835" s="138"/>
      <c r="H835" s="138"/>
      <c r="T835" s="31"/>
    </row>
    <row r="836">
      <c r="B836" s="138"/>
      <c r="F836" s="138"/>
      <c r="G836" s="138"/>
      <c r="H836" s="138"/>
      <c r="T836" s="31"/>
    </row>
    <row r="837">
      <c r="B837" s="138"/>
      <c r="F837" s="138"/>
      <c r="G837" s="138"/>
      <c r="H837" s="138"/>
      <c r="T837" s="31"/>
    </row>
    <row r="838">
      <c r="B838" s="138"/>
      <c r="F838" s="138"/>
      <c r="G838" s="138"/>
      <c r="H838" s="138"/>
      <c r="T838" s="31"/>
    </row>
    <row r="839">
      <c r="B839" s="138"/>
      <c r="F839" s="138"/>
      <c r="G839" s="138"/>
      <c r="H839" s="138"/>
      <c r="T839" s="31"/>
    </row>
    <row r="840">
      <c r="B840" s="138"/>
      <c r="F840" s="138"/>
      <c r="G840" s="138"/>
      <c r="H840" s="138"/>
      <c r="T840" s="31"/>
    </row>
    <row r="841">
      <c r="B841" s="138"/>
      <c r="F841" s="138"/>
      <c r="G841" s="138"/>
      <c r="H841" s="138"/>
      <c r="T841" s="31"/>
    </row>
    <row r="842">
      <c r="B842" s="138"/>
      <c r="F842" s="138"/>
      <c r="G842" s="138"/>
      <c r="H842" s="138"/>
      <c r="T842" s="31"/>
    </row>
    <row r="843">
      <c r="B843" s="138"/>
      <c r="F843" s="138"/>
      <c r="G843" s="138"/>
      <c r="H843" s="138"/>
      <c r="T843" s="31"/>
    </row>
    <row r="844">
      <c r="B844" s="138"/>
      <c r="F844" s="138"/>
      <c r="G844" s="138"/>
      <c r="H844" s="138"/>
      <c r="T844" s="31"/>
    </row>
    <row r="845">
      <c r="B845" s="138"/>
      <c r="F845" s="138"/>
      <c r="G845" s="138"/>
      <c r="H845" s="138"/>
      <c r="T845" s="31"/>
    </row>
    <row r="846">
      <c r="B846" s="138"/>
      <c r="F846" s="138"/>
      <c r="G846" s="138"/>
      <c r="H846" s="138"/>
      <c r="T846" s="31"/>
    </row>
    <row r="847">
      <c r="B847" s="138"/>
      <c r="F847" s="138"/>
      <c r="G847" s="138"/>
      <c r="H847" s="138"/>
      <c r="T847" s="31"/>
    </row>
    <row r="848">
      <c r="B848" s="138"/>
      <c r="F848" s="138"/>
      <c r="G848" s="138"/>
      <c r="H848" s="138"/>
      <c r="T848" s="31"/>
    </row>
    <row r="849">
      <c r="B849" s="138"/>
      <c r="F849" s="138"/>
      <c r="G849" s="138"/>
      <c r="H849" s="138"/>
      <c r="T849" s="31"/>
    </row>
    <row r="850">
      <c r="B850" s="138"/>
      <c r="F850" s="138"/>
      <c r="G850" s="138"/>
      <c r="H850" s="138"/>
      <c r="T850" s="31"/>
    </row>
    <row r="851">
      <c r="B851" s="138"/>
      <c r="F851" s="138"/>
      <c r="G851" s="138"/>
      <c r="H851" s="138"/>
      <c r="T851" s="31"/>
    </row>
    <row r="852">
      <c r="B852" s="138"/>
      <c r="F852" s="138"/>
      <c r="G852" s="138"/>
      <c r="H852" s="138"/>
      <c r="T852" s="31"/>
    </row>
    <row r="853">
      <c r="B853" s="138"/>
      <c r="F853" s="138"/>
      <c r="G853" s="138"/>
      <c r="H853" s="138"/>
      <c r="T853" s="31"/>
    </row>
    <row r="854">
      <c r="B854" s="138"/>
      <c r="F854" s="138"/>
      <c r="G854" s="138"/>
      <c r="H854" s="138"/>
      <c r="T854" s="31"/>
    </row>
    <row r="855">
      <c r="B855" s="138"/>
      <c r="F855" s="138"/>
      <c r="G855" s="138"/>
      <c r="H855" s="138"/>
      <c r="T855" s="31"/>
    </row>
    <row r="856">
      <c r="B856" s="138"/>
      <c r="F856" s="138"/>
      <c r="G856" s="138"/>
      <c r="H856" s="138"/>
      <c r="T856" s="31"/>
    </row>
    <row r="857">
      <c r="B857" s="138"/>
      <c r="F857" s="138"/>
      <c r="G857" s="138"/>
      <c r="H857" s="138"/>
      <c r="T857" s="31"/>
    </row>
    <row r="858">
      <c r="B858" s="138"/>
      <c r="F858" s="138"/>
      <c r="G858" s="138"/>
      <c r="H858" s="138"/>
      <c r="T858" s="31"/>
    </row>
    <row r="859">
      <c r="B859" s="138"/>
      <c r="F859" s="138"/>
      <c r="G859" s="138"/>
      <c r="H859" s="138"/>
      <c r="T859" s="31"/>
    </row>
    <row r="860">
      <c r="B860" s="138"/>
      <c r="F860" s="138"/>
      <c r="G860" s="138"/>
      <c r="H860" s="138"/>
      <c r="T860" s="31"/>
    </row>
    <row r="861">
      <c r="B861" s="138"/>
      <c r="F861" s="138"/>
      <c r="G861" s="138"/>
      <c r="H861" s="138"/>
      <c r="T861" s="31"/>
    </row>
    <row r="862">
      <c r="B862" s="138"/>
      <c r="F862" s="138"/>
      <c r="G862" s="138"/>
      <c r="H862" s="138"/>
      <c r="T862" s="31"/>
    </row>
    <row r="863">
      <c r="B863" s="138"/>
      <c r="F863" s="138"/>
      <c r="G863" s="138"/>
      <c r="H863" s="138"/>
      <c r="T863" s="31"/>
    </row>
    <row r="864">
      <c r="B864" s="138"/>
      <c r="F864" s="138"/>
      <c r="G864" s="138"/>
      <c r="H864" s="138"/>
      <c r="T864" s="31"/>
    </row>
    <row r="865">
      <c r="B865" s="138"/>
      <c r="F865" s="138"/>
      <c r="G865" s="138"/>
      <c r="H865" s="138"/>
      <c r="T865" s="31"/>
    </row>
    <row r="866">
      <c r="B866" s="138"/>
      <c r="F866" s="138"/>
      <c r="G866" s="138"/>
      <c r="H866" s="138"/>
      <c r="T866" s="31"/>
    </row>
    <row r="867">
      <c r="B867" s="138"/>
      <c r="F867" s="138"/>
      <c r="G867" s="138"/>
      <c r="H867" s="138"/>
      <c r="T867" s="31"/>
    </row>
    <row r="868">
      <c r="B868" s="138"/>
      <c r="F868" s="138"/>
      <c r="G868" s="138"/>
      <c r="H868" s="138"/>
      <c r="T868" s="31"/>
    </row>
    <row r="869">
      <c r="B869" s="138"/>
      <c r="F869" s="138"/>
      <c r="G869" s="138"/>
      <c r="H869" s="138"/>
      <c r="T869" s="31"/>
    </row>
    <row r="870">
      <c r="B870" s="138"/>
      <c r="F870" s="138"/>
      <c r="G870" s="138"/>
      <c r="H870" s="138"/>
      <c r="T870" s="31"/>
    </row>
    <row r="871">
      <c r="B871" s="138"/>
      <c r="F871" s="138"/>
      <c r="G871" s="138"/>
      <c r="H871" s="138"/>
      <c r="T871" s="31"/>
    </row>
    <row r="872">
      <c r="B872" s="138"/>
      <c r="F872" s="138"/>
      <c r="G872" s="138"/>
      <c r="H872" s="138"/>
      <c r="T872" s="31"/>
    </row>
    <row r="873">
      <c r="B873" s="138"/>
      <c r="F873" s="138"/>
      <c r="G873" s="138"/>
      <c r="H873" s="138"/>
      <c r="T873" s="31"/>
    </row>
    <row r="874">
      <c r="B874" s="138"/>
      <c r="F874" s="138"/>
      <c r="G874" s="138"/>
      <c r="H874" s="138"/>
      <c r="T874" s="31"/>
    </row>
    <row r="875">
      <c r="B875" s="138"/>
      <c r="F875" s="138"/>
      <c r="G875" s="138"/>
      <c r="H875" s="138"/>
      <c r="T875" s="31"/>
    </row>
    <row r="876">
      <c r="B876" s="138"/>
      <c r="F876" s="138"/>
      <c r="G876" s="138"/>
      <c r="H876" s="138"/>
      <c r="T876" s="31"/>
    </row>
    <row r="877">
      <c r="B877" s="138"/>
      <c r="F877" s="138"/>
      <c r="G877" s="138"/>
      <c r="H877" s="138"/>
      <c r="T877" s="31"/>
    </row>
    <row r="878">
      <c r="B878" s="138"/>
      <c r="F878" s="138"/>
      <c r="G878" s="138"/>
      <c r="H878" s="138"/>
      <c r="T878" s="31"/>
    </row>
    <row r="879">
      <c r="B879" s="138"/>
      <c r="F879" s="138"/>
      <c r="G879" s="138"/>
      <c r="H879" s="138"/>
      <c r="T879" s="31"/>
    </row>
    <row r="880">
      <c r="B880" s="138"/>
      <c r="F880" s="138"/>
      <c r="G880" s="138"/>
      <c r="H880" s="138"/>
      <c r="T880" s="31"/>
    </row>
    <row r="881">
      <c r="B881" s="138"/>
      <c r="F881" s="138"/>
      <c r="G881" s="138"/>
      <c r="H881" s="138"/>
      <c r="T881" s="31"/>
    </row>
    <row r="882">
      <c r="B882" s="138"/>
      <c r="F882" s="138"/>
      <c r="G882" s="138"/>
      <c r="H882" s="138"/>
      <c r="T882" s="31"/>
    </row>
    <row r="883">
      <c r="B883" s="138"/>
      <c r="F883" s="138"/>
      <c r="G883" s="138"/>
      <c r="H883" s="138"/>
      <c r="T883" s="31"/>
    </row>
    <row r="884">
      <c r="B884" s="138"/>
      <c r="F884" s="138"/>
      <c r="G884" s="138"/>
      <c r="H884" s="138"/>
      <c r="T884" s="31"/>
    </row>
    <row r="885">
      <c r="B885" s="138"/>
      <c r="F885" s="138"/>
      <c r="G885" s="138"/>
      <c r="H885" s="138"/>
      <c r="T885" s="31"/>
    </row>
    <row r="886">
      <c r="B886" s="138"/>
      <c r="F886" s="138"/>
      <c r="G886" s="138"/>
      <c r="H886" s="138"/>
      <c r="T886" s="31"/>
    </row>
    <row r="887">
      <c r="B887" s="138"/>
      <c r="F887" s="138"/>
      <c r="G887" s="138"/>
      <c r="H887" s="138"/>
      <c r="T887" s="31"/>
    </row>
    <row r="888">
      <c r="B888" s="138"/>
      <c r="F888" s="138"/>
      <c r="G888" s="138"/>
      <c r="H888" s="138"/>
      <c r="T888" s="31"/>
    </row>
    <row r="889">
      <c r="B889" s="138"/>
      <c r="F889" s="138"/>
      <c r="G889" s="138"/>
      <c r="H889" s="138"/>
      <c r="T889" s="31"/>
    </row>
    <row r="890">
      <c r="B890" s="138"/>
      <c r="F890" s="138"/>
      <c r="G890" s="138"/>
      <c r="H890" s="138"/>
      <c r="T890" s="31"/>
    </row>
    <row r="891">
      <c r="B891" s="138"/>
      <c r="F891" s="138"/>
      <c r="G891" s="138"/>
      <c r="H891" s="138"/>
      <c r="T891" s="31"/>
    </row>
    <row r="892">
      <c r="B892" s="138"/>
      <c r="F892" s="138"/>
      <c r="G892" s="138"/>
      <c r="H892" s="138"/>
      <c r="T892" s="31"/>
    </row>
    <row r="893">
      <c r="B893" s="138"/>
      <c r="F893" s="138"/>
      <c r="G893" s="138"/>
      <c r="H893" s="138"/>
      <c r="T893" s="31"/>
    </row>
    <row r="894">
      <c r="B894" s="138"/>
      <c r="F894" s="138"/>
      <c r="G894" s="138"/>
      <c r="H894" s="138"/>
      <c r="T894" s="31"/>
    </row>
    <row r="895">
      <c r="B895" s="138"/>
      <c r="F895" s="138"/>
      <c r="G895" s="138"/>
      <c r="H895" s="138"/>
      <c r="T895" s="31"/>
    </row>
    <row r="896">
      <c r="B896" s="138"/>
      <c r="F896" s="138"/>
      <c r="G896" s="138"/>
      <c r="H896" s="138"/>
      <c r="T896" s="31"/>
    </row>
    <row r="897">
      <c r="B897" s="138"/>
      <c r="F897" s="138"/>
      <c r="G897" s="138"/>
      <c r="H897" s="138"/>
      <c r="T897" s="31"/>
    </row>
    <row r="898">
      <c r="B898" s="138"/>
      <c r="F898" s="138"/>
      <c r="G898" s="138"/>
      <c r="H898" s="138"/>
      <c r="T898" s="31"/>
    </row>
    <row r="899">
      <c r="B899" s="138"/>
      <c r="F899" s="138"/>
      <c r="G899" s="138"/>
      <c r="H899" s="138"/>
      <c r="T899" s="31"/>
    </row>
    <row r="900">
      <c r="B900" s="138"/>
      <c r="F900" s="138"/>
      <c r="G900" s="138"/>
      <c r="H900" s="138"/>
      <c r="T900" s="31"/>
    </row>
    <row r="901">
      <c r="B901" s="138"/>
      <c r="F901" s="138"/>
      <c r="G901" s="138"/>
      <c r="H901" s="138"/>
      <c r="T901" s="31"/>
    </row>
    <row r="902">
      <c r="B902" s="138"/>
      <c r="F902" s="138"/>
      <c r="G902" s="138"/>
      <c r="H902" s="138"/>
      <c r="T902" s="31"/>
    </row>
    <row r="903">
      <c r="B903" s="138"/>
      <c r="F903" s="138"/>
      <c r="G903" s="138"/>
      <c r="H903" s="138"/>
      <c r="T903" s="31"/>
    </row>
    <row r="904">
      <c r="B904" s="138"/>
      <c r="F904" s="138"/>
      <c r="G904" s="138"/>
      <c r="H904" s="138"/>
      <c r="T904" s="31"/>
    </row>
    <row r="905">
      <c r="B905" s="138"/>
      <c r="F905" s="138"/>
      <c r="G905" s="138"/>
      <c r="H905" s="138"/>
      <c r="T905" s="31"/>
    </row>
    <row r="906">
      <c r="B906" s="138"/>
      <c r="F906" s="138"/>
      <c r="G906" s="138"/>
      <c r="H906" s="138"/>
      <c r="T906" s="31"/>
    </row>
    <row r="907">
      <c r="B907" s="138"/>
      <c r="F907" s="138"/>
      <c r="G907" s="138"/>
      <c r="H907" s="138"/>
      <c r="T907" s="31"/>
    </row>
    <row r="908">
      <c r="B908" s="138"/>
      <c r="F908" s="138"/>
      <c r="G908" s="138"/>
      <c r="H908" s="138"/>
      <c r="T908" s="31"/>
    </row>
    <row r="909">
      <c r="B909" s="138"/>
      <c r="F909" s="138"/>
      <c r="G909" s="138"/>
      <c r="H909" s="138"/>
      <c r="T909" s="31"/>
    </row>
    <row r="910">
      <c r="B910" s="138"/>
      <c r="F910" s="138"/>
      <c r="G910" s="138"/>
      <c r="H910" s="138"/>
      <c r="T910" s="31"/>
    </row>
    <row r="911">
      <c r="B911" s="138"/>
      <c r="F911" s="138"/>
      <c r="G911" s="138"/>
      <c r="H911" s="138"/>
      <c r="T911" s="31"/>
    </row>
    <row r="912">
      <c r="B912" s="138"/>
      <c r="F912" s="138"/>
      <c r="G912" s="138"/>
      <c r="H912" s="138"/>
      <c r="T912" s="31"/>
    </row>
    <row r="913">
      <c r="B913" s="138"/>
      <c r="F913" s="138"/>
      <c r="G913" s="138"/>
      <c r="H913" s="138"/>
      <c r="T913" s="31"/>
    </row>
    <row r="914">
      <c r="B914" s="138"/>
      <c r="F914" s="138"/>
      <c r="G914" s="138"/>
      <c r="H914" s="138"/>
      <c r="T914" s="31"/>
    </row>
    <row r="915">
      <c r="B915" s="138"/>
      <c r="F915" s="138"/>
      <c r="G915" s="138"/>
      <c r="H915" s="138"/>
      <c r="T915" s="31"/>
    </row>
    <row r="916">
      <c r="B916" s="138"/>
      <c r="F916" s="138"/>
      <c r="G916" s="138"/>
      <c r="H916" s="138"/>
      <c r="T916" s="31"/>
    </row>
    <row r="917">
      <c r="B917" s="138"/>
      <c r="F917" s="138"/>
      <c r="G917" s="138"/>
      <c r="H917" s="138"/>
      <c r="T917" s="31"/>
    </row>
    <row r="918">
      <c r="B918" s="138"/>
      <c r="F918" s="138"/>
      <c r="G918" s="138"/>
      <c r="H918" s="138"/>
      <c r="T918" s="31"/>
    </row>
    <row r="919">
      <c r="B919" s="138"/>
      <c r="F919" s="138"/>
      <c r="G919" s="138"/>
      <c r="H919" s="138"/>
      <c r="T919" s="31"/>
    </row>
    <row r="920">
      <c r="B920" s="138"/>
      <c r="F920" s="138"/>
      <c r="G920" s="138"/>
      <c r="H920" s="138"/>
      <c r="T920" s="31"/>
    </row>
    <row r="921">
      <c r="B921" s="138"/>
      <c r="F921" s="138"/>
      <c r="G921" s="138"/>
      <c r="H921" s="138"/>
      <c r="T921" s="31"/>
    </row>
    <row r="922">
      <c r="B922" s="138"/>
      <c r="F922" s="138"/>
      <c r="G922" s="138"/>
      <c r="H922" s="138"/>
      <c r="T922" s="31"/>
    </row>
    <row r="923">
      <c r="B923" s="138"/>
      <c r="F923" s="138"/>
      <c r="G923" s="138"/>
      <c r="H923" s="138"/>
      <c r="T923" s="31"/>
    </row>
    <row r="924">
      <c r="B924" s="138"/>
      <c r="F924" s="138"/>
      <c r="G924" s="138"/>
      <c r="H924" s="138"/>
      <c r="T924" s="31"/>
    </row>
    <row r="925">
      <c r="B925" s="138"/>
      <c r="F925" s="138"/>
      <c r="G925" s="138"/>
      <c r="H925" s="138"/>
      <c r="T925" s="31"/>
    </row>
    <row r="926">
      <c r="B926" s="138"/>
      <c r="F926" s="138"/>
      <c r="G926" s="138"/>
      <c r="H926" s="138"/>
      <c r="T926" s="31"/>
    </row>
    <row r="927">
      <c r="B927" s="138"/>
      <c r="F927" s="138"/>
      <c r="G927" s="138"/>
      <c r="H927" s="138"/>
      <c r="T927" s="31"/>
    </row>
    <row r="928">
      <c r="B928" s="138"/>
      <c r="F928" s="138"/>
      <c r="G928" s="138"/>
      <c r="H928" s="138"/>
      <c r="T928" s="31"/>
    </row>
    <row r="929">
      <c r="B929" s="138"/>
      <c r="F929" s="138"/>
      <c r="G929" s="138"/>
      <c r="H929" s="138"/>
      <c r="T929" s="31"/>
    </row>
    <row r="930">
      <c r="B930" s="138"/>
      <c r="F930" s="138"/>
      <c r="G930" s="138"/>
      <c r="H930" s="138"/>
      <c r="T930" s="31"/>
    </row>
    <row r="931">
      <c r="B931" s="138"/>
      <c r="F931" s="138"/>
      <c r="G931" s="138"/>
      <c r="H931" s="138"/>
      <c r="T931" s="31"/>
    </row>
    <row r="932">
      <c r="B932" s="138"/>
      <c r="F932" s="138"/>
      <c r="G932" s="138"/>
      <c r="H932" s="138"/>
      <c r="T932" s="31"/>
    </row>
    <row r="933">
      <c r="B933" s="138"/>
      <c r="F933" s="138"/>
      <c r="G933" s="138"/>
      <c r="H933" s="138"/>
      <c r="T933" s="31"/>
    </row>
    <row r="934">
      <c r="B934" s="138"/>
      <c r="F934" s="138"/>
      <c r="G934" s="138"/>
      <c r="H934" s="138"/>
      <c r="T934" s="31"/>
    </row>
    <row r="935">
      <c r="B935" s="138"/>
      <c r="F935" s="138"/>
      <c r="G935" s="138"/>
      <c r="H935" s="138"/>
      <c r="T935" s="31"/>
    </row>
    <row r="936">
      <c r="B936" s="138"/>
      <c r="F936" s="138"/>
      <c r="G936" s="138"/>
      <c r="H936" s="138"/>
      <c r="T936" s="31"/>
    </row>
    <row r="937">
      <c r="B937" s="138"/>
      <c r="F937" s="138"/>
      <c r="G937" s="138"/>
      <c r="H937" s="138"/>
      <c r="T937" s="31"/>
    </row>
    <row r="938">
      <c r="B938" s="138"/>
      <c r="F938" s="138"/>
      <c r="G938" s="138"/>
      <c r="H938" s="138"/>
      <c r="T938" s="31"/>
    </row>
    <row r="939">
      <c r="B939" s="138"/>
      <c r="F939" s="138"/>
      <c r="G939" s="138"/>
      <c r="H939" s="138"/>
      <c r="T939" s="31"/>
    </row>
    <row r="940">
      <c r="B940" s="138"/>
      <c r="F940" s="138"/>
      <c r="G940" s="138"/>
      <c r="H940" s="138"/>
      <c r="T940" s="31"/>
    </row>
    <row r="941">
      <c r="B941" s="138"/>
      <c r="F941" s="138"/>
      <c r="G941" s="138"/>
      <c r="H941" s="138"/>
      <c r="T941" s="31"/>
    </row>
    <row r="942">
      <c r="B942" s="138"/>
      <c r="F942" s="138"/>
      <c r="G942" s="138"/>
      <c r="H942" s="138"/>
      <c r="T942" s="31"/>
    </row>
    <row r="943">
      <c r="B943" s="138"/>
      <c r="F943" s="138"/>
      <c r="G943" s="138"/>
      <c r="H943" s="138"/>
      <c r="T943" s="31"/>
    </row>
    <row r="944">
      <c r="B944" s="138"/>
      <c r="F944" s="138"/>
      <c r="G944" s="138"/>
      <c r="H944" s="138"/>
      <c r="T944" s="31"/>
    </row>
  </sheetData>
  <mergeCells count="18">
    <mergeCell ref="H3:I3"/>
    <mergeCell ref="J3:K3"/>
    <mergeCell ref="I4:J4"/>
    <mergeCell ref="I5:J5"/>
    <mergeCell ref="L3:M3"/>
    <mergeCell ref="N3:O3"/>
    <mergeCell ref="P3:Q3"/>
    <mergeCell ref="R3:S3"/>
    <mergeCell ref="T3:U3"/>
    <mergeCell ref="V3:X3"/>
    <mergeCell ref="B2:G2"/>
    <mergeCell ref="H2:M2"/>
    <mergeCell ref="N2:S2"/>
    <mergeCell ref="T2:Z2"/>
    <mergeCell ref="B3:C3"/>
    <mergeCell ref="D3:E3"/>
    <mergeCell ref="F3:G3"/>
    <mergeCell ref="Y3:Z3"/>
  </mergeCells>
  <dataValidations>
    <dataValidation type="list" allowBlank="1" showErrorMessage="1" sqref="B24:Z24 B32:Z32">
      <formula1>"0%,100%,60%,80%"</formula1>
    </dataValidation>
  </dataValidations>
  <hyperlinks>
    <hyperlink r:id="rId2" location="gid=995961185" ref="C5"/>
    <hyperlink r:id="rId3" location="gid=871265992" ref="E5"/>
    <hyperlink r:id="rId4" ref="H5"/>
    <hyperlink r:id="rId5" location="gid=1450301536" ref="I5"/>
    <hyperlink r:id="rId6" ref="A48"/>
  </hyperlinks>
  <drawing r:id="rId7"/>
  <legacyDrawing r:id="rId8"/>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37.0"/>
    <col customWidth="1" min="2" max="2" width="14.75"/>
    <col customWidth="1" min="3" max="3" width="14.38"/>
    <col customWidth="1" min="4" max="4" width="12.88"/>
    <col customWidth="1" min="5" max="5" width="14.0"/>
    <col customWidth="1" min="6" max="6" width="13.0"/>
    <col customWidth="1" min="7" max="7" width="14.75"/>
    <col customWidth="1" min="8" max="8" width="14.25"/>
    <col customWidth="1" min="9" max="9" width="15.88"/>
    <col customWidth="1" min="10" max="10" width="14.63"/>
    <col customWidth="1" min="11" max="11" width="13.0"/>
    <col customWidth="1" min="12" max="12" width="15.0"/>
    <col customWidth="1" min="13" max="13" width="15.38"/>
    <col customWidth="1" min="14" max="14" width="14.0"/>
    <col customWidth="1" min="15" max="15" width="14.5"/>
    <col customWidth="1" min="16" max="16" width="13.5"/>
    <col customWidth="1" min="17" max="17" width="14.25"/>
    <col customWidth="1" min="18" max="18" width="13.25"/>
    <col customWidth="1" min="19" max="19" width="14.38"/>
    <col customWidth="1" min="20" max="20" width="14.25"/>
    <col customWidth="1" min="21" max="21" width="13.38"/>
    <col customWidth="1" min="22" max="22" width="13.63"/>
    <col customWidth="1" min="28" max="28" width="13.5"/>
  </cols>
  <sheetData>
    <row r="1" ht="33.75" customHeight="1">
      <c r="A1" s="1" t="s">
        <v>1319</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c r="AO1" s="4"/>
    </row>
    <row r="2" ht="15.0" customHeight="1">
      <c r="A2" s="6" t="s">
        <v>1</v>
      </c>
      <c r="B2" s="7" t="s">
        <v>2</v>
      </c>
      <c r="C2" s="8"/>
      <c r="D2" s="8"/>
      <c r="E2" s="8"/>
      <c r="F2" s="8"/>
      <c r="G2" s="9"/>
      <c r="H2" s="10" t="s">
        <v>3</v>
      </c>
      <c r="I2" s="8"/>
      <c r="J2" s="8"/>
      <c r="K2" s="8"/>
      <c r="L2" s="8"/>
      <c r="M2" s="8"/>
      <c r="N2" s="9"/>
      <c r="O2" s="10" t="s">
        <v>4</v>
      </c>
      <c r="P2" s="8"/>
      <c r="Q2" s="8"/>
      <c r="R2" s="8"/>
      <c r="S2" s="8"/>
      <c r="T2" s="8"/>
      <c r="U2" s="9"/>
      <c r="V2" s="467" t="s">
        <v>5</v>
      </c>
      <c r="W2" s="8"/>
      <c r="X2" s="8"/>
      <c r="Y2" s="8"/>
      <c r="Z2" s="8"/>
      <c r="AA2" s="9"/>
      <c r="AB2" s="12"/>
      <c r="AC2" s="12"/>
      <c r="AD2" s="12"/>
      <c r="AE2" s="12"/>
      <c r="AF2" s="12"/>
      <c r="AG2" s="12"/>
      <c r="AH2" s="12"/>
      <c r="AI2" s="12"/>
      <c r="AJ2" s="12"/>
      <c r="AK2" s="12"/>
      <c r="AL2" s="12"/>
      <c r="AM2" s="12"/>
      <c r="AN2" s="12"/>
      <c r="AO2" s="12"/>
    </row>
    <row r="3" ht="15.0" customHeight="1">
      <c r="A3" s="6" t="s">
        <v>6</v>
      </c>
      <c r="B3" s="13" t="s">
        <v>7</v>
      </c>
      <c r="C3" s="14"/>
      <c r="D3" s="13" t="s">
        <v>8</v>
      </c>
      <c r="E3" s="14"/>
      <c r="F3" s="10" t="s">
        <v>9</v>
      </c>
      <c r="G3" s="9"/>
      <c r="H3" s="293" t="s">
        <v>10</v>
      </c>
      <c r="I3" s="9"/>
      <c r="J3" s="10" t="s">
        <v>11</v>
      </c>
      <c r="K3" s="8"/>
      <c r="L3" s="9"/>
      <c r="M3" s="469" t="s">
        <v>12</v>
      </c>
      <c r="N3" s="9"/>
      <c r="O3" s="10" t="s">
        <v>13</v>
      </c>
      <c r="P3" s="9"/>
      <c r="Q3" s="293" t="s">
        <v>14</v>
      </c>
      <c r="R3" s="9"/>
      <c r="S3" s="10" t="s">
        <v>15</v>
      </c>
      <c r="T3" s="8"/>
      <c r="U3" s="9"/>
      <c r="V3" s="775" t="s">
        <v>16</v>
      </c>
      <c r="W3" s="8"/>
      <c r="X3" s="10" t="s">
        <v>17</v>
      </c>
      <c r="Y3" s="8"/>
      <c r="Z3" s="469" t="s">
        <v>18</v>
      </c>
      <c r="AA3" s="9"/>
      <c r="AB3" s="12"/>
      <c r="AC3" s="12"/>
      <c r="AD3" s="12"/>
      <c r="AE3" s="12"/>
      <c r="AF3" s="12"/>
      <c r="AG3" s="12"/>
      <c r="AH3" s="12"/>
      <c r="AI3" s="12"/>
      <c r="AJ3" s="12"/>
      <c r="AK3" s="12"/>
      <c r="AL3" s="12"/>
      <c r="AM3" s="12"/>
      <c r="AN3" s="12"/>
      <c r="AO3" s="12"/>
    </row>
    <row r="4" ht="15.0" customHeight="1">
      <c r="A4" s="6" t="s">
        <v>19</v>
      </c>
      <c r="B4" s="18" t="s">
        <v>1320</v>
      </c>
      <c r="C4" s="18" t="s">
        <v>1321</v>
      </c>
      <c r="D4" s="18" t="s">
        <v>1322</v>
      </c>
      <c r="E4" s="18" t="s">
        <v>1323</v>
      </c>
      <c r="F4" s="18" t="s">
        <v>1324</v>
      </c>
      <c r="G4" s="18" t="s">
        <v>1325</v>
      </c>
      <c r="H4" s="18" t="s">
        <v>1326</v>
      </c>
      <c r="I4" s="18" t="s">
        <v>1327</v>
      </c>
      <c r="J4" s="18" t="s">
        <v>1328</v>
      </c>
      <c r="K4" s="18" t="s">
        <v>1329</v>
      </c>
      <c r="L4" s="18" t="s">
        <v>1330</v>
      </c>
      <c r="M4" s="18" t="s">
        <v>1331</v>
      </c>
      <c r="N4" s="470" t="s">
        <v>1332</v>
      </c>
      <c r="O4" s="470" t="s">
        <v>1333</v>
      </c>
      <c r="P4" s="470" t="s">
        <v>1334</v>
      </c>
      <c r="Q4" s="470" t="s">
        <v>1335</v>
      </c>
      <c r="R4" s="470" t="s">
        <v>1336</v>
      </c>
      <c r="S4" s="470" t="s">
        <v>1337</v>
      </c>
      <c r="T4" s="470" t="s">
        <v>1338</v>
      </c>
      <c r="U4" s="776" t="s">
        <v>1339</v>
      </c>
      <c r="V4" s="776" t="s">
        <v>1340</v>
      </c>
      <c r="W4" s="19"/>
      <c r="X4" s="19"/>
      <c r="Y4" s="19"/>
      <c r="Z4" s="19"/>
      <c r="AA4" s="21"/>
      <c r="AB4" s="12"/>
      <c r="AC4" s="12"/>
      <c r="AD4" s="12"/>
      <c r="AE4" s="12"/>
      <c r="AF4" s="12"/>
      <c r="AG4" s="12"/>
      <c r="AH4" s="12"/>
      <c r="AI4" s="12"/>
      <c r="AJ4" s="12"/>
      <c r="AK4" s="12"/>
      <c r="AL4" s="12"/>
      <c r="AM4" s="12"/>
      <c r="AN4" s="12"/>
      <c r="AO4" s="12"/>
    </row>
    <row r="5" ht="15.0" customHeight="1">
      <c r="A5" s="22" t="s">
        <v>20</v>
      </c>
      <c r="B5" s="18" t="s">
        <v>1341</v>
      </c>
      <c r="C5" s="18" t="s">
        <v>1342</v>
      </c>
      <c r="D5" s="23" t="s">
        <v>1343</v>
      </c>
      <c r="E5" s="23" t="s">
        <v>1344</v>
      </c>
      <c r="F5" s="23" t="s">
        <v>1345</v>
      </c>
      <c r="G5" s="23" t="s">
        <v>1346</v>
      </c>
      <c r="H5" s="23" t="s">
        <v>1347</v>
      </c>
      <c r="I5" s="23" t="s">
        <v>1348</v>
      </c>
      <c r="J5" s="23" t="s">
        <v>1349</v>
      </c>
      <c r="K5" s="23" t="s">
        <v>1350</v>
      </c>
      <c r="L5" s="23" t="s">
        <v>1351</v>
      </c>
      <c r="M5" s="23" t="s">
        <v>1352</v>
      </c>
      <c r="N5" s="23" t="s">
        <v>1353</v>
      </c>
      <c r="O5" s="23" t="s">
        <v>1354</v>
      </c>
      <c r="P5" s="23" t="s">
        <v>1355</v>
      </c>
      <c r="Q5" s="23" t="s">
        <v>1356</v>
      </c>
      <c r="R5" s="23" t="s">
        <v>1357</v>
      </c>
      <c r="S5" s="23" t="s">
        <v>1358</v>
      </c>
      <c r="T5" s="23" t="s">
        <v>1359</v>
      </c>
      <c r="U5" s="777" t="s">
        <v>1360</v>
      </c>
      <c r="V5" s="777" t="s">
        <v>1361</v>
      </c>
      <c r="W5" s="24"/>
      <c r="X5" s="24"/>
      <c r="Y5" s="24"/>
      <c r="Z5" s="25"/>
      <c r="AA5" s="25"/>
      <c r="AB5" s="27"/>
      <c r="AC5" s="28"/>
      <c r="AD5" s="28"/>
      <c r="AE5" s="28"/>
      <c r="AF5" s="28"/>
      <c r="AG5" s="28"/>
      <c r="AH5" s="28"/>
      <c r="AI5" s="28"/>
      <c r="AJ5" s="28"/>
      <c r="AK5" s="28"/>
      <c r="AL5" s="28"/>
      <c r="AM5" s="28"/>
      <c r="AN5" s="28"/>
      <c r="AO5" s="28"/>
    </row>
    <row r="6" ht="15.0" customHeight="1">
      <c r="A6" s="29"/>
      <c r="B6" s="30"/>
      <c r="U6" s="31"/>
    </row>
    <row r="7" ht="15.0" customHeight="1">
      <c r="A7" s="32" t="s">
        <v>21</v>
      </c>
      <c r="B7" s="33">
        <v>403.0</v>
      </c>
      <c r="C7" s="34">
        <v>409.0</v>
      </c>
      <c r="D7" s="34">
        <v>530.0</v>
      </c>
      <c r="E7" s="34">
        <v>449.0</v>
      </c>
      <c r="F7" s="34">
        <v>442.0</v>
      </c>
      <c r="G7" s="34">
        <v>413.0</v>
      </c>
      <c r="H7" s="34">
        <v>433.0</v>
      </c>
      <c r="I7" s="34">
        <v>230.0</v>
      </c>
      <c r="J7" s="34">
        <v>498.0</v>
      </c>
      <c r="K7" s="34">
        <v>462.0</v>
      </c>
      <c r="L7" s="34">
        <v>512.0</v>
      </c>
      <c r="M7" s="34">
        <v>333.0</v>
      </c>
      <c r="N7" s="34">
        <v>414.0</v>
      </c>
      <c r="O7" s="34">
        <v>449.0</v>
      </c>
      <c r="P7" s="34">
        <v>454.0</v>
      </c>
      <c r="Q7" s="34">
        <v>449.0</v>
      </c>
      <c r="R7" s="34">
        <v>452.0</v>
      </c>
      <c r="S7" s="34">
        <v>462.0</v>
      </c>
      <c r="T7" s="35">
        <v>521.0</v>
      </c>
      <c r="U7" s="36">
        <v>553.0</v>
      </c>
      <c r="V7" s="34">
        <v>499.0</v>
      </c>
      <c r="W7" s="34"/>
      <c r="X7" s="34"/>
      <c r="Y7" s="34"/>
      <c r="Z7" s="34"/>
      <c r="AA7" s="34"/>
    </row>
    <row r="8" ht="15.0" customHeight="1">
      <c r="A8" s="37" t="s">
        <v>22</v>
      </c>
      <c r="B8" s="38">
        <v>376.0</v>
      </c>
      <c r="C8" s="39">
        <v>380.0</v>
      </c>
      <c r="D8" s="39">
        <v>467.0</v>
      </c>
      <c r="E8" s="39">
        <v>394.0</v>
      </c>
      <c r="F8" s="39">
        <v>387.0</v>
      </c>
      <c r="G8" s="39">
        <v>382.0</v>
      </c>
      <c r="H8" s="39">
        <v>403.0</v>
      </c>
      <c r="I8" s="39">
        <v>197.0</v>
      </c>
      <c r="J8" s="39">
        <v>403.0</v>
      </c>
      <c r="K8" s="39">
        <v>401.0</v>
      </c>
      <c r="L8" s="39">
        <v>409.0</v>
      </c>
      <c r="M8" s="39">
        <v>292.0</v>
      </c>
      <c r="N8" s="39">
        <v>334.0</v>
      </c>
      <c r="O8" s="39">
        <v>377.0</v>
      </c>
      <c r="P8" s="39">
        <f>372+27</f>
        <v>399</v>
      </c>
      <c r="Q8" s="39">
        <v>444.0</v>
      </c>
      <c r="R8" s="39">
        <v>435.0</v>
      </c>
      <c r="S8" s="39">
        <v>411.0</v>
      </c>
      <c r="T8" s="40">
        <v>452.0</v>
      </c>
      <c r="U8" s="41">
        <v>504.0</v>
      </c>
      <c r="V8" s="39">
        <v>460.0</v>
      </c>
      <c r="W8" s="39"/>
      <c r="X8" s="39"/>
      <c r="Y8" s="39"/>
      <c r="Z8" s="39"/>
      <c r="AA8" s="39"/>
    </row>
    <row r="9" ht="15.0" customHeight="1">
      <c r="A9" s="37" t="s">
        <v>23</v>
      </c>
      <c r="B9" s="38">
        <v>27.0</v>
      </c>
      <c r="C9" s="39">
        <v>29.0</v>
      </c>
      <c r="D9" s="39">
        <v>63.0</v>
      </c>
      <c r="E9" s="39">
        <v>55.0</v>
      </c>
      <c r="F9" s="39">
        <v>55.0</v>
      </c>
      <c r="G9" s="39">
        <f>G7-G8</f>
        <v>31</v>
      </c>
      <c r="H9" s="39">
        <v>30.0</v>
      </c>
      <c r="I9" s="39">
        <v>33.0</v>
      </c>
      <c r="J9" s="39">
        <v>95.0</v>
      </c>
      <c r="K9" s="39">
        <v>61.0</v>
      </c>
      <c r="L9" s="39">
        <v>103.0</v>
      </c>
      <c r="M9" s="39">
        <v>41.0</v>
      </c>
      <c r="N9" s="39">
        <v>80.0</v>
      </c>
      <c r="O9" s="39">
        <v>72.0</v>
      </c>
      <c r="P9" s="39">
        <f>P7-P8</f>
        <v>55</v>
      </c>
      <c r="Q9" s="39">
        <v>35.0</v>
      </c>
      <c r="R9" s="39">
        <f t="shared" ref="R9:V9" si="1">R7-R8</f>
        <v>17</v>
      </c>
      <c r="S9" s="39">
        <f t="shared" si="1"/>
        <v>51</v>
      </c>
      <c r="T9" s="39">
        <f t="shared" si="1"/>
        <v>69</v>
      </c>
      <c r="U9" s="39">
        <f t="shared" si="1"/>
        <v>49</v>
      </c>
      <c r="V9" s="39">
        <f t="shared" si="1"/>
        <v>39</v>
      </c>
      <c r="W9" s="39"/>
      <c r="X9" s="39"/>
      <c r="Y9" s="39"/>
      <c r="Z9" s="39"/>
      <c r="AA9" s="39"/>
    </row>
    <row r="10" ht="15.0" customHeight="1">
      <c r="A10" s="37" t="s">
        <v>1362</v>
      </c>
      <c r="B10" s="38">
        <f>27-11</f>
        <v>16</v>
      </c>
      <c r="C10" s="39">
        <f>29-17</f>
        <v>12</v>
      </c>
      <c r="D10" s="39">
        <f>63-2</f>
        <v>61</v>
      </c>
      <c r="E10" s="39">
        <f>55-11</f>
        <v>44</v>
      </c>
      <c r="F10" s="39">
        <f>55-6</f>
        <v>49</v>
      </c>
      <c r="G10" s="39">
        <f>G9-G21</f>
        <v>4</v>
      </c>
      <c r="H10" s="39">
        <f>30-13</f>
        <v>17</v>
      </c>
      <c r="I10" s="39">
        <f>33-6</f>
        <v>27</v>
      </c>
      <c r="J10" s="39">
        <f>95-20</f>
        <v>75</v>
      </c>
      <c r="K10" s="39">
        <f>61-29</f>
        <v>32</v>
      </c>
      <c r="L10" s="39">
        <f>103-37</f>
        <v>66</v>
      </c>
      <c r="M10" s="39">
        <f>41-18</f>
        <v>23</v>
      </c>
      <c r="N10" s="39">
        <f>80-34</f>
        <v>46</v>
      </c>
      <c r="O10" s="39">
        <f>72-7</f>
        <v>65</v>
      </c>
      <c r="P10" s="39">
        <f t="shared" ref="P10:V10" si="2">P9-P21</f>
        <v>50</v>
      </c>
      <c r="Q10" s="39">
        <f t="shared" si="2"/>
        <v>22</v>
      </c>
      <c r="R10" s="39">
        <f t="shared" si="2"/>
        <v>9</v>
      </c>
      <c r="S10" s="39">
        <f t="shared" si="2"/>
        <v>30</v>
      </c>
      <c r="T10" s="39">
        <f t="shared" si="2"/>
        <v>49</v>
      </c>
      <c r="U10" s="39">
        <f t="shared" si="2"/>
        <v>1</v>
      </c>
      <c r="V10" s="39">
        <f t="shared" si="2"/>
        <v>7</v>
      </c>
      <c r="W10" s="39"/>
      <c r="X10" s="39"/>
      <c r="Y10" s="39"/>
      <c r="Z10" s="39"/>
      <c r="AA10" s="39"/>
    </row>
    <row r="11" ht="15.0" customHeight="1">
      <c r="A11" s="42" t="s">
        <v>24</v>
      </c>
      <c r="B11" s="43">
        <f t="shared" ref="B11:AA11" si="3">IFERROR(B9/B7, 0)</f>
        <v>0.06699751861</v>
      </c>
      <c r="C11" s="43">
        <f t="shared" si="3"/>
        <v>0.07090464548</v>
      </c>
      <c r="D11" s="43">
        <f t="shared" si="3"/>
        <v>0.1188679245</v>
      </c>
      <c r="E11" s="43">
        <f t="shared" si="3"/>
        <v>0.1224944321</v>
      </c>
      <c r="F11" s="43">
        <f t="shared" si="3"/>
        <v>0.1244343891</v>
      </c>
      <c r="G11" s="43">
        <f t="shared" si="3"/>
        <v>0.07506053269</v>
      </c>
      <c r="H11" s="43">
        <f t="shared" si="3"/>
        <v>0.06928406467</v>
      </c>
      <c r="I11" s="43">
        <f t="shared" si="3"/>
        <v>0.1434782609</v>
      </c>
      <c r="J11" s="43">
        <f t="shared" si="3"/>
        <v>0.1907630522</v>
      </c>
      <c r="K11" s="43">
        <f t="shared" si="3"/>
        <v>0.132034632</v>
      </c>
      <c r="L11" s="43">
        <f t="shared" si="3"/>
        <v>0.201171875</v>
      </c>
      <c r="M11" s="43">
        <f t="shared" si="3"/>
        <v>0.1231231231</v>
      </c>
      <c r="N11" s="43">
        <f t="shared" si="3"/>
        <v>0.193236715</v>
      </c>
      <c r="O11" s="43">
        <f t="shared" si="3"/>
        <v>0.1603563474</v>
      </c>
      <c r="P11" s="43">
        <f t="shared" si="3"/>
        <v>0.1211453744</v>
      </c>
      <c r="Q11" s="43">
        <f t="shared" si="3"/>
        <v>0.07795100223</v>
      </c>
      <c r="R11" s="43">
        <f t="shared" si="3"/>
        <v>0.03761061947</v>
      </c>
      <c r="S11" s="43">
        <f t="shared" si="3"/>
        <v>0.1103896104</v>
      </c>
      <c r="T11" s="43">
        <f t="shared" si="3"/>
        <v>0.13243762</v>
      </c>
      <c r="U11" s="43">
        <f t="shared" si="3"/>
        <v>0.08860759494</v>
      </c>
      <c r="V11" s="43">
        <f t="shared" si="3"/>
        <v>0.07815631263</v>
      </c>
      <c r="W11" s="43">
        <f t="shared" si="3"/>
        <v>0</v>
      </c>
      <c r="X11" s="43">
        <f t="shared" si="3"/>
        <v>0</v>
      </c>
      <c r="Y11" s="43">
        <f t="shared" si="3"/>
        <v>0</v>
      </c>
      <c r="Z11" s="43">
        <f t="shared" si="3"/>
        <v>0</v>
      </c>
      <c r="AA11" s="43">
        <f t="shared" si="3"/>
        <v>0</v>
      </c>
    </row>
    <row r="12" ht="15.0" customHeight="1">
      <c r="A12" s="778"/>
      <c r="B12" s="46"/>
      <c r="C12" s="40"/>
      <c r="D12" s="40"/>
      <c r="E12" s="40"/>
      <c r="F12" s="40"/>
      <c r="G12" s="40"/>
      <c r="H12" s="40"/>
      <c r="I12" s="40"/>
      <c r="J12" s="40"/>
      <c r="K12" s="40"/>
      <c r="L12" s="40"/>
      <c r="M12" s="40"/>
      <c r="N12" s="40"/>
      <c r="O12" s="40"/>
      <c r="P12" s="40"/>
      <c r="Q12" s="40"/>
      <c r="R12" s="40"/>
      <c r="S12" s="40"/>
      <c r="T12" s="40"/>
      <c r="U12" s="47"/>
      <c r="V12" s="40"/>
      <c r="W12" s="40"/>
      <c r="X12" s="40"/>
      <c r="Y12" s="40"/>
      <c r="Z12" s="40"/>
      <c r="AA12" s="40"/>
    </row>
    <row r="13" ht="15.0" customHeight="1">
      <c r="A13" s="779" t="s">
        <v>1363</v>
      </c>
      <c r="B13" s="33">
        <v>123.0</v>
      </c>
      <c r="C13" s="34">
        <v>81.0</v>
      </c>
      <c r="D13" s="33">
        <v>116.0</v>
      </c>
      <c r="E13" s="34">
        <v>94.0</v>
      </c>
      <c r="F13" s="33">
        <v>97.0</v>
      </c>
      <c r="G13" s="34">
        <v>81.0</v>
      </c>
      <c r="H13" s="33">
        <v>77.0</v>
      </c>
      <c r="I13" s="33">
        <v>53.0</v>
      </c>
      <c r="J13" s="34">
        <v>76.0</v>
      </c>
      <c r="K13" s="33">
        <v>75.0</v>
      </c>
      <c r="L13" s="34">
        <v>89.0</v>
      </c>
      <c r="M13" s="33">
        <v>60.0</v>
      </c>
      <c r="N13" s="34">
        <v>67.0</v>
      </c>
      <c r="O13" s="33">
        <v>45.0</v>
      </c>
      <c r="P13" s="34">
        <v>81.0</v>
      </c>
      <c r="Q13" s="33">
        <v>78.0</v>
      </c>
      <c r="R13" s="34">
        <v>78.0</v>
      </c>
      <c r="S13" s="33">
        <v>63.0</v>
      </c>
      <c r="T13" s="35">
        <v>86.0</v>
      </c>
      <c r="U13" s="36">
        <f>21+42+47</f>
        <v>110</v>
      </c>
      <c r="V13" s="34">
        <v>81.0</v>
      </c>
      <c r="W13" s="33"/>
      <c r="X13" s="33"/>
      <c r="Y13" s="34"/>
      <c r="Z13" s="33"/>
      <c r="AA13" s="34"/>
    </row>
    <row r="14" ht="15.0" customHeight="1">
      <c r="A14" s="780" t="s">
        <v>1364</v>
      </c>
      <c r="B14" s="38">
        <v>123.0</v>
      </c>
      <c r="C14" s="39">
        <v>81.0</v>
      </c>
      <c r="D14" s="38">
        <v>116.0</v>
      </c>
      <c r="E14" s="39">
        <v>94.0</v>
      </c>
      <c r="F14" s="38">
        <v>97.0</v>
      </c>
      <c r="G14" s="39">
        <v>81.0</v>
      </c>
      <c r="H14" s="38">
        <v>77.0</v>
      </c>
      <c r="I14" s="38">
        <v>53.0</v>
      </c>
      <c r="J14" s="39">
        <v>76.0</v>
      </c>
      <c r="K14" s="38">
        <v>70.0</v>
      </c>
      <c r="L14" s="39">
        <v>89.0</v>
      </c>
      <c r="M14" s="38">
        <v>55.0</v>
      </c>
      <c r="N14" s="39">
        <v>67.0</v>
      </c>
      <c r="O14" s="38">
        <v>45.0</v>
      </c>
      <c r="P14" s="39">
        <v>81.0</v>
      </c>
      <c r="Q14" s="38">
        <v>78.0</v>
      </c>
      <c r="R14" s="39">
        <v>78.0</v>
      </c>
      <c r="S14" s="38">
        <v>63.0</v>
      </c>
      <c r="T14" s="40">
        <v>86.0</v>
      </c>
      <c r="U14" s="41">
        <v>110.0</v>
      </c>
      <c r="V14" s="39">
        <v>81.0</v>
      </c>
      <c r="W14" s="38"/>
      <c r="X14" s="38"/>
      <c r="Y14" s="39"/>
      <c r="Z14" s="38"/>
      <c r="AA14" s="39"/>
    </row>
    <row r="15" ht="15.0" customHeight="1">
      <c r="A15" s="780" t="s">
        <v>1365</v>
      </c>
      <c r="B15" s="38">
        <v>123.0</v>
      </c>
      <c r="C15" s="39">
        <v>81.0</v>
      </c>
      <c r="D15" s="38">
        <v>116.0</v>
      </c>
      <c r="E15" s="39">
        <v>94.0</v>
      </c>
      <c r="F15" s="38">
        <v>97.0</v>
      </c>
      <c r="G15" s="39">
        <v>81.0</v>
      </c>
      <c r="H15" s="38">
        <v>77.0</v>
      </c>
      <c r="I15" s="38">
        <v>43.0</v>
      </c>
      <c r="J15" s="39">
        <v>76.0</v>
      </c>
      <c r="K15" s="38">
        <v>70.0</v>
      </c>
      <c r="L15" s="39">
        <v>77.0</v>
      </c>
      <c r="M15" s="38">
        <v>47.0</v>
      </c>
      <c r="N15" s="39">
        <v>67.0</v>
      </c>
      <c r="O15" s="38">
        <v>45.0</v>
      </c>
      <c r="P15" s="39">
        <v>81.0</v>
      </c>
      <c r="Q15" s="38">
        <v>78.0</v>
      </c>
      <c r="R15" s="39">
        <v>78.0</v>
      </c>
      <c r="S15" s="38">
        <v>63.0</v>
      </c>
      <c r="T15" s="40">
        <v>86.0</v>
      </c>
      <c r="U15" s="41">
        <v>110.0</v>
      </c>
      <c r="V15" s="39">
        <v>81.0</v>
      </c>
      <c r="W15" s="38"/>
      <c r="X15" s="38"/>
      <c r="Y15" s="39"/>
      <c r="Z15" s="38"/>
      <c r="AA15" s="39"/>
    </row>
    <row r="16" ht="15.0" customHeight="1">
      <c r="A16" s="780" t="s">
        <v>1366</v>
      </c>
      <c r="B16" s="781">
        <v>1.0</v>
      </c>
      <c r="C16" s="781">
        <v>1.0</v>
      </c>
      <c r="D16" s="781">
        <v>1.0</v>
      </c>
      <c r="E16" s="781">
        <v>1.0</v>
      </c>
      <c r="F16" s="781">
        <v>1.0</v>
      </c>
      <c r="G16" s="781">
        <v>1.0</v>
      </c>
      <c r="H16" s="781">
        <v>1.0</v>
      </c>
      <c r="I16" s="781">
        <v>1.0</v>
      </c>
      <c r="J16" s="781">
        <v>1.0</v>
      </c>
      <c r="K16" s="781">
        <v>1.0</v>
      </c>
      <c r="L16" s="781">
        <f t="shared" ref="L16:M16" si="4">L15/L14</f>
        <v>0.8651685393</v>
      </c>
      <c r="M16" s="781">
        <f t="shared" si="4"/>
        <v>0.8545454545</v>
      </c>
      <c r="N16" s="781">
        <v>1.0</v>
      </c>
      <c r="O16" s="781">
        <f t="shared" ref="O16:S16" si="5">O15/O14</f>
        <v>1</v>
      </c>
      <c r="P16" s="781">
        <f t="shared" si="5"/>
        <v>1</v>
      </c>
      <c r="Q16" s="781">
        <f t="shared" si="5"/>
        <v>1</v>
      </c>
      <c r="R16" s="781">
        <f t="shared" si="5"/>
        <v>1</v>
      </c>
      <c r="S16" s="781">
        <f t="shared" si="5"/>
        <v>1</v>
      </c>
      <c r="T16" s="782">
        <v>1.0</v>
      </c>
      <c r="U16" s="782">
        <v>1.0</v>
      </c>
      <c r="V16" s="782">
        <v>1.0</v>
      </c>
      <c r="W16" s="781"/>
      <c r="X16" s="781"/>
      <c r="Y16" s="781"/>
      <c r="Z16" s="781"/>
      <c r="AA16" s="781"/>
    </row>
    <row r="17" ht="15.0" customHeight="1">
      <c r="A17" s="783" t="s">
        <v>1367</v>
      </c>
      <c r="B17" s="784"/>
      <c r="C17" s="784"/>
      <c r="D17" s="784"/>
      <c r="E17" s="784"/>
      <c r="F17" s="784"/>
      <c r="G17" s="785">
        <f>(5/G29)</f>
        <v>0.02066115702</v>
      </c>
      <c r="H17" s="785">
        <f>(6/H29)</f>
        <v>0.02173913043</v>
      </c>
      <c r="I17" s="785">
        <f>(8/I29)</f>
        <v>0.06015037594</v>
      </c>
      <c r="J17" s="785">
        <f>(22/J29)</f>
        <v>0.07560137457</v>
      </c>
      <c r="K17" s="785">
        <f>(34/K29)</f>
        <v>0.1197183099</v>
      </c>
      <c r="L17" s="785">
        <f>(22/L29)</f>
        <v>0.08461538462</v>
      </c>
      <c r="M17" s="785">
        <f>(10/M29)</f>
        <v>0.05714285714</v>
      </c>
      <c r="N17" s="785">
        <f>(13/N29)</f>
        <v>0.06403940887</v>
      </c>
      <c r="O17" s="785">
        <f>(3/O29)</f>
        <v>0.01048951049</v>
      </c>
      <c r="P17" s="785">
        <f>(0/P29)</f>
        <v>0</v>
      </c>
      <c r="Q17" s="785">
        <f>(81/Q29)</f>
        <v>0.2213114754</v>
      </c>
      <c r="R17" s="785">
        <f>(23/R29)</f>
        <v>0.06442577031</v>
      </c>
      <c r="S17" s="785">
        <f>(20/S29)</f>
        <v>0.05747126437</v>
      </c>
      <c r="T17" s="785">
        <f>(5/T29)</f>
        <v>0.01366120219</v>
      </c>
      <c r="U17" s="785">
        <f>(37/U29)</f>
        <v>0.09390862944</v>
      </c>
      <c r="V17" s="785">
        <f>(52/V29)</f>
        <v>0.135770235</v>
      </c>
      <c r="W17" s="784"/>
      <c r="X17" s="784"/>
      <c r="Y17" s="784"/>
      <c r="Z17" s="784"/>
      <c r="AA17" s="784"/>
      <c r="AB17" s="786"/>
      <c r="AC17" s="786"/>
      <c r="AD17" s="786"/>
      <c r="AE17" s="786"/>
      <c r="AF17" s="786"/>
      <c r="AG17" s="786"/>
      <c r="AH17" s="786"/>
      <c r="AI17" s="786"/>
      <c r="AJ17" s="786"/>
      <c r="AK17" s="786"/>
      <c r="AL17" s="786"/>
      <c r="AM17" s="786"/>
      <c r="AN17" s="786"/>
    </row>
    <row r="18" ht="15.0" customHeight="1">
      <c r="A18" s="175"/>
      <c r="B18" s="46"/>
      <c r="C18" s="40"/>
      <c r="D18" s="40"/>
      <c r="E18" s="40"/>
      <c r="F18" s="40"/>
      <c r="G18" s="40"/>
      <c r="H18" s="40"/>
      <c r="I18" s="40"/>
      <c r="J18" s="40"/>
      <c r="K18" s="40"/>
      <c r="L18" s="40"/>
      <c r="M18" s="40"/>
      <c r="N18" s="40"/>
      <c r="O18" s="40"/>
      <c r="P18" s="40"/>
      <c r="Q18" s="40"/>
      <c r="R18" s="40"/>
      <c r="S18" s="40"/>
      <c r="T18" s="40"/>
      <c r="U18" s="47"/>
      <c r="V18" s="40"/>
      <c r="W18" s="40"/>
      <c r="X18" s="40"/>
      <c r="Y18" s="40"/>
      <c r="Z18" s="40"/>
      <c r="AA18" s="40"/>
    </row>
    <row r="19" ht="15.0" customHeight="1">
      <c r="A19" s="48" t="s">
        <v>25</v>
      </c>
      <c r="B19" s="49">
        <v>20.0</v>
      </c>
      <c r="C19" s="50">
        <v>45.0</v>
      </c>
      <c r="D19" s="50">
        <v>33.0</v>
      </c>
      <c r="E19" s="50">
        <v>40.0</v>
      </c>
      <c r="F19" s="50">
        <v>44.0</v>
      </c>
      <c r="G19" s="50">
        <v>74.0</v>
      </c>
      <c r="H19" s="50">
        <v>63.0</v>
      </c>
      <c r="I19" s="50">
        <v>23.0</v>
      </c>
      <c r="J19" s="50">
        <v>47.0</v>
      </c>
      <c r="K19" s="50">
        <v>66.0</v>
      </c>
      <c r="L19" s="50">
        <v>84.0</v>
      </c>
      <c r="M19" s="50">
        <v>67.0</v>
      </c>
      <c r="N19" s="50">
        <v>88.0</v>
      </c>
      <c r="O19" s="50">
        <v>51.0</v>
      </c>
      <c r="P19" s="50">
        <v>19.0</v>
      </c>
      <c r="Q19" s="50">
        <f>45-11</f>
        <v>34</v>
      </c>
      <c r="R19" s="50">
        <v>43.0</v>
      </c>
      <c r="S19" s="50">
        <v>28.0</v>
      </c>
      <c r="T19" s="51">
        <v>50.0</v>
      </c>
      <c r="U19" s="52">
        <v>79.0</v>
      </c>
      <c r="V19" s="50">
        <v>82.0</v>
      </c>
      <c r="W19" s="50"/>
      <c r="X19" s="50"/>
      <c r="Y19" s="50"/>
      <c r="Z19" s="50"/>
      <c r="AA19" s="50"/>
    </row>
    <row r="20" ht="15.0" customHeight="1">
      <c r="A20" s="53" t="s">
        <v>26</v>
      </c>
      <c r="B20" s="54">
        <v>9.0</v>
      </c>
      <c r="C20" s="55">
        <v>35.0</v>
      </c>
      <c r="D20" s="55">
        <v>33.0</v>
      </c>
      <c r="E20" s="55">
        <v>34.0</v>
      </c>
      <c r="F20" s="55">
        <v>39.0</v>
      </c>
      <c r="G20" s="55">
        <v>59.0</v>
      </c>
      <c r="H20" s="55">
        <v>50.0</v>
      </c>
      <c r="I20" s="55">
        <v>17.0</v>
      </c>
      <c r="J20" s="55">
        <v>36.0</v>
      </c>
      <c r="K20" s="55">
        <v>47.0</v>
      </c>
      <c r="L20" s="55">
        <v>60.0</v>
      </c>
      <c r="M20" s="55">
        <v>62.0</v>
      </c>
      <c r="N20" s="55">
        <v>56.0</v>
      </c>
      <c r="O20" s="55">
        <v>46.0</v>
      </c>
      <c r="P20" s="55">
        <v>14.0</v>
      </c>
      <c r="Q20" s="55">
        <f>45-Q21</f>
        <v>32</v>
      </c>
      <c r="R20" s="55">
        <v>40.0</v>
      </c>
      <c r="S20" s="55">
        <v>7.0</v>
      </c>
      <c r="T20" s="56">
        <f>63-20</f>
        <v>43</v>
      </c>
      <c r="U20" s="57">
        <f>95-U21</f>
        <v>47</v>
      </c>
      <c r="V20" s="55">
        <v>50.0</v>
      </c>
      <c r="W20" s="55"/>
      <c r="X20" s="55"/>
      <c r="Y20" s="55"/>
      <c r="Z20" s="55"/>
      <c r="AA20" s="55"/>
    </row>
    <row r="21" ht="15.0" customHeight="1">
      <c r="A21" s="58" t="s">
        <v>27</v>
      </c>
      <c r="B21" s="59">
        <v>11.0</v>
      </c>
      <c r="C21" s="60">
        <v>17.0</v>
      </c>
      <c r="D21" s="60">
        <v>2.0</v>
      </c>
      <c r="E21" s="60">
        <v>11.0</v>
      </c>
      <c r="F21" s="60">
        <v>6.0</v>
      </c>
      <c r="G21" s="60">
        <v>27.0</v>
      </c>
      <c r="H21" s="60">
        <v>13.0</v>
      </c>
      <c r="I21" s="60">
        <v>6.0</v>
      </c>
      <c r="J21" s="60">
        <v>20.0</v>
      </c>
      <c r="K21" s="60">
        <v>29.0</v>
      </c>
      <c r="L21" s="60">
        <v>37.0</v>
      </c>
      <c r="M21" s="60">
        <v>18.0</v>
      </c>
      <c r="N21" s="60">
        <v>34.0</v>
      </c>
      <c r="O21" s="60">
        <v>7.0</v>
      </c>
      <c r="P21" s="60">
        <v>5.0</v>
      </c>
      <c r="Q21" s="60">
        <v>13.0</v>
      </c>
      <c r="R21" s="60">
        <v>8.0</v>
      </c>
      <c r="S21" s="60">
        <v>21.0</v>
      </c>
      <c r="T21" s="61">
        <v>20.0</v>
      </c>
      <c r="U21" s="62">
        <v>48.0</v>
      </c>
      <c r="V21" s="62">
        <f>V19-V20</f>
        <v>32</v>
      </c>
      <c r="W21" s="60"/>
      <c r="X21" s="60"/>
      <c r="Y21" s="60"/>
      <c r="Z21" s="60"/>
      <c r="AA21" s="60"/>
    </row>
    <row r="22" ht="15.0" customHeight="1">
      <c r="A22" s="56"/>
      <c r="B22" s="63"/>
      <c r="C22" s="56"/>
      <c r="D22" s="56"/>
      <c r="E22" s="56"/>
      <c r="F22" s="56"/>
      <c r="G22" s="56"/>
      <c r="H22" s="56"/>
      <c r="I22" s="56"/>
      <c r="J22" s="56"/>
      <c r="K22" s="56"/>
      <c r="L22" s="56"/>
      <c r="M22" s="56"/>
      <c r="N22" s="56"/>
      <c r="O22" s="56"/>
      <c r="P22" s="56"/>
      <c r="Q22" s="56"/>
      <c r="R22" s="56"/>
      <c r="S22" s="56"/>
      <c r="T22" s="56"/>
      <c r="U22" s="64"/>
      <c r="V22" s="56"/>
      <c r="W22" s="56"/>
      <c r="X22" s="56"/>
      <c r="Y22" s="56"/>
      <c r="Z22" s="56"/>
      <c r="AA22" s="56"/>
    </row>
    <row r="23" ht="15.0" customHeight="1">
      <c r="A23" s="65" t="s">
        <v>28</v>
      </c>
      <c r="B23" s="66">
        <v>3.0</v>
      </c>
      <c r="C23" s="65">
        <v>0.0</v>
      </c>
      <c r="D23" s="65">
        <v>0.0</v>
      </c>
      <c r="E23" s="65">
        <v>0.0</v>
      </c>
      <c r="F23" s="65">
        <v>0.0</v>
      </c>
      <c r="G23" s="65">
        <v>0.0</v>
      </c>
      <c r="H23" s="65">
        <v>0.0</v>
      </c>
      <c r="I23" s="65">
        <v>0.0</v>
      </c>
      <c r="J23" s="65">
        <v>0.0</v>
      </c>
      <c r="K23" s="65">
        <v>0.0</v>
      </c>
      <c r="L23" s="65">
        <v>0.0</v>
      </c>
      <c r="M23" s="65">
        <v>0.0</v>
      </c>
      <c r="N23" s="65">
        <v>0.0</v>
      </c>
      <c r="O23" s="65">
        <v>0.0</v>
      </c>
      <c r="P23" s="65">
        <v>0.0</v>
      </c>
      <c r="Q23" s="65">
        <v>0.0</v>
      </c>
      <c r="R23" s="65">
        <v>0.0</v>
      </c>
      <c r="S23" s="65">
        <v>0.0</v>
      </c>
      <c r="T23" s="67">
        <v>0.0</v>
      </c>
      <c r="U23" s="68">
        <v>0.0</v>
      </c>
      <c r="V23" s="65">
        <v>0.0</v>
      </c>
      <c r="W23" s="65"/>
      <c r="X23" s="65"/>
      <c r="Y23" s="65"/>
      <c r="Z23" s="65"/>
      <c r="AA23" s="65"/>
    </row>
    <row r="24" ht="15.0" customHeight="1">
      <c r="A24" s="65" t="s">
        <v>29</v>
      </c>
      <c r="B24" s="66">
        <v>0.0</v>
      </c>
      <c r="C24" s="65">
        <v>0.0</v>
      </c>
      <c r="D24" s="65">
        <v>0.0</v>
      </c>
      <c r="E24" s="65">
        <v>0.0</v>
      </c>
      <c r="F24" s="65">
        <v>0.0</v>
      </c>
      <c r="G24" s="65">
        <v>0.0</v>
      </c>
      <c r="H24" s="65">
        <v>0.0</v>
      </c>
      <c r="I24" s="65">
        <v>0.0</v>
      </c>
      <c r="J24" s="65">
        <v>0.0</v>
      </c>
      <c r="K24" s="65">
        <v>0.0</v>
      </c>
      <c r="L24" s="65">
        <v>0.0</v>
      </c>
      <c r="M24" s="65">
        <v>0.0</v>
      </c>
      <c r="N24" s="65">
        <v>0.0</v>
      </c>
      <c r="O24" s="65">
        <v>0.0</v>
      </c>
      <c r="P24" s="65">
        <v>0.0</v>
      </c>
      <c r="Q24" s="65">
        <v>0.0</v>
      </c>
      <c r="R24" s="65">
        <v>0.0</v>
      </c>
      <c r="S24" s="65">
        <v>0.0</v>
      </c>
      <c r="T24" s="67">
        <v>0.0</v>
      </c>
      <c r="U24" s="68">
        <v>0.0</v>
      </c>
      <c r="V24" s="65">
        <v>0.0</v>
      </c>
      <c r="W24" s="65"/>
      <c r="X24" s="65"/>
      <c r="Y24" s="65"/>
      <c r="Z24" s="65"/>
      <c r="AA24" s="65"/>
    </row>
    <row r="25" ht="15.0" customHeight="1">
      <c r="A25" s="69" t="s">
        <v>30</v>
      </c>
      <c r="B25" s="70">
        <v>242.0</v>
      </c>
      <c r="C25" s="69">
        <v>238.0</v>
      </c>
      <c r="D25" s="69">
        <v>288.0</v>
      </c>
      <c r="E25" s="69">
        <v>212.0</v>
      </c>
      <c r="F25" s="69">
        <v>279.0</v>
      </c>
      <c r="G25" s="69">
        <v>147.0</v>
      </c>
      <c r="H25" s="69">
        <v>207.0</v>
      </c>
      <c r="I25" s="69">
        <v>105.0</v>
      </c>
      <c r="J25" s="69">
        <v>324.0</v>
      </c>
      <c r="K25" s="69">
        <v>311.0</v>
      </c>
      <c r="L25" s="69">
        <v>252.0</v>
      </c>
      <c r="M25" s="69">
        <v>216.0</v>
      </c>
      <c r="N25" s="69">
        <v>290.0</v>
      </c>
      <c r="O25" s="69">
        <v>318.0</v>
      </c>
      <c r="P25" s="69">
        <f>292+17</f>
        <v>309</v>
      </c>
      <c r="Q25" s="69">
        <v>328.0</v>
      </c>
      <c r="R25" s="69">
        <v>339.0</v>
      </c>
      <c r="S25" s="69">
        <v>344.0</v>
      </c>
      <c r="T25" s="69">
        <v>367.0</v>
      </c>
      <c r="U25" s="71">
        <v>349.0</v>
      </c>
      <c r="V25" s="69">
        <f>324-V15</f>
        <v>243</v>
      </c>
      <c r="W25" s="69"/>
      <c r="X25" s="69"/>
      <c r="Y25" s="69"/>
      <c r="Z25" s="69"/>
      <c r="AA25" s="72"/>
      <c r="AB25" s="73"/>
      <c r="AC25" s="73"/>
      <c r="AD25" s="73"/>
      <c r="AE25" s="73"/>
      <c r="AF25" s="73"/>
      <c r="AG25" s="73"/>
      <c r="AH25" s="73"/>
      <c r="AI25" s="73"/>
      <c r="AJ25" s="73"/>
      <c r="AK25" s="73"/>
      <c r="AL25" s="73"/>
      <c r="AM25" s="73"/>
      <c r="AN25" s="73"/>
      <c r="AO25" s="73"/>
    </row>
    <row r="26" ht="15.0" customHeight="1">
      <c r="A26" s="74" t="s">
        <v>31</v>
      </c>
      <c r="B26" s="75">
        <v>385.0</v>
      </c>
      <c r="C26" s="74">
        <v>364.0</v>
      </c>
      <c r="D26" s="74">
        <v>437.0</v>
      </c>
      <c r="E26" s="74">
        <v>346.0</v>
      </c>
      <c r="F26" s="74">
        <v>420.0</v>
      </c>
      <c r="G26" s="74">
        <v>302.0</v>
      </c>
      <c r="H26" s="74">
        <v>347.0</v>
      </c>
      <c r="I26" s="74">
        <v>175.0</v>
      </c>
      <c r="J26" s="74">
        <v>447.0</v>
      </c>
      <c r="K26" s="74">
        <v>391.0</v>
      </c>
      <c r="L26" s="74">
        <v>413.0</v>
      </c>
      <c r="M26" s="74">
        <v>291.0</v>
      </c>
      <c r="N26" s="74">
        <v>357.0</v>
      </c>
      <c r="O26" s="74">
        <v>342.0</v>
      </c>
      <c r="P26" s="74">
        <v>420.0</v>
      </c>
      <c r="Q26" s="69">
        <v>406.0</v>
      </c>
      <c r="R26" s="74">
        <v>417.0</v>
      </c>
      <c r="S26" s="74">
        <v>407.0</v>
      </c>
      <c r="T26" s="74">
        <v>453.0</v>
      </c>
      <c r="U26" s="76">
        <v>438.0</v>
      </c>
      <c r="V26" s="74">
        <v>324.0</v>
      </c>
      <c r="W26" s="74"/>
      <c r="X26" s="74"/>
      <c r="Y26" s="74"/>
      <c r="Z26" s="74"/>
      <c r="AA26" s="77"/>
      <c r="AB26" s="78"/>
      <c r="AC26" s="78"/>
      <c r="AD26" s="78"/>
      <c r="AE26" s="78"/>
      <c r="AF26" s="78"/>
      <c r="AG26" s="78"/>
      <c r="AH26" s="78"/>
      <c r="AI26" s="78"/>
      <c r="AJ26" s="78"/>
      <c r="AK26" s="78"/>
      <c r="AL26" s="78"/>
      <c r="AM26" s="78"/>
      <c r="AN26" s="78"/>
      <c r="AO26" s="78"/>
    </row>
    <row r="27" ht="15.0" customHeight="1">
      <c r="A27" s="69" t="s">
        <v>32</v>
      </c>
      <c r="B27" s="70">
        <v>196.0</v>
      </c>
      <c r="C27" s="69">
        <v>126.0</v>
      </c>
      <c r="D27" s="69">
        <v>188.0</v>
      </c>
      <c r="E27" s="69">
        <v>163.0</v>
      </c>
      <c r="F27" s="69">
        <v>176.0</v>
      </c>
      <c r="G27" s="69">
        <v>101.0</v>
      </c>
      <c r="H27" s="69">
        <f>204-21</f>
        <v>183</v>
      </c>
      <c r="I27" s="69">
        <v>76.0</v>
      </c>
      <c r="J27" s="69">
        <v>201.0</v>
      </c>
      <c r="K27" s="69">
        <v>237.0</v>
      </c>
      <c r="L27" s="69">
        <v>202.0</v>
      </c>
      <c r="M27" s="69">
        <v>188.0</v>
      </c>
      <c r="N27" s="69">
        <v>281.0</v>
      </c>
      <c r="O27" s="69">
        <v>234.0</v>
      </c>
      <c r="P27" s="69">
        <v>230.0</v>
      </c>
      <c r="Q27" s="69">
        <v>234.0</v>
      </c>
      <c r="R27" s="69">
        <v>245.0</v>
      </c>
      <c r="S27" s="69">
        <v>256.0</v>
      </c>
      <c r="T27" s="69">
        <f>T25-93</f>
        <v>274</v>
      </c>
      <c r="U27" s="71">
        <v>223.0</v>
      </c>
      <c r="V27" s="69">
        <v>135.0</v>
      </c>
      <c r="W27" s="69"/>
      <c r="X27" s="69"/>
      <c r="Y27" s="69"/>
      <c r="Z27" s="69"/>
      <c r="AA27" s="72"/>
      <c r="AB27" s="73"/>
      <c r="AC27" s="73"/>
      <c r="AD27" s="73"/>
      <c r="AE27" s="73"/>
      <c r="AF27" s="73"/>
      <c r="AG27" s="73"/>
      <c r="AH27" s="73"/>
      <c r="AI27" s="73"/>
      <c r="AJ27" s="73"/>
      <c r="AK27" s="73"/>
      <c r="AL27" s="73"/>
      <c r="AM27" s="73"/>
      <c r="AN27" s="73"/>
      <c r="AO27" s="73"/>
    </row>
    <row r="28" ht="15.0" customHeight="1">
      <c r="A28" s="79" t="s">
        <v>33</v>
      </c>
      <c r="B28" s="80">
        <v>18.0</v>
      </c>
      <c r="C28" s="80">
        <v>38.0</v>
      </c>
      <c r="D28" s="80">
        <v>91.0</v>
      </c>
      <c r="E28" s="80">
        <v>98.0</v>
      </c>
      <c r="F28" s="79">
        <v>21.0</v>
      </c>
      <c r="G28" s="79">
        <v>99.0</v>
      </c>
      <c r="H28" s="79">
        <v>86.0</v>
      </c>
      <c r="I28" s="79">
        <v>55.0</v>
      </c>
      <c r="J28" s="79">
        <v>42.0</v>
      </c>
      <c r="K28" s="79">
        <v>71.0</v>
      </c>
      <c r="L28" s="79">
        <v>73.0</v>
      </c>
      <c r="M28" s="79">
        <v>16.0</v>
      </c>
      <c r="N28" s="79">
        <v>47.0</v>
      </c>
      <c r="O28" s="79">
        <v>107.0</v>
      </c>
      <c r="P28" s="79">
        <f t="shared" ref="P28:Q28" si="6">P7-P26</f>
        <v>34</v>
      </c>
      <c r="Q28" s="79">
        <f t="shared" si="6"/>
        <v>43</v>
      </c>
      <c r="R28" s="79">
        <v>35.0</v>
      </c>
      <c r="S28" s="79">
        <v>47.0</v>
      </c>
      <c r="T28" s="81">
        <v>68.0</v>
      </c>
      <c r="U28" s="79">
        <v>94.0</v>
      </c>
      <c r="V28" s="79">
        <v>196.0</v>
      </c>
      <c r="W28" s="79"/>
      <c r="X28" s="79"/>
      <c r="Y28" s="79"/>
      <c r="Z28" s="79"/>
      <c r="AA28" s="79"/>
    </row>
    <row r="29" ht="15.0" customHeight="1">
      <c r="A29" s="82" t="s">
        <v>34</v>
      </c>
      <c r="B29" s="83">
        <v>244.0</v>
      </c>
      <c r="C29" s="83">
        <v>264.0</v>
      </c>
      <c r="D29" s="85">
        <v>318.0</v>
      </c>
      <c r="E29" s="85">
        <v>266.0</v>
      </c>
      <c r="F29" s="85">
        <v>251.0</v>
      </c>
      <c r="G29" s="85">
        <v>242.0</v>
      </c>
      <c r="H29" s="85">
        <v>276.0</v>
      </c>
      <c r="I29" s="85">
        <v>133.0</v>
      </c>
      <c r="J29" s="85">
        <v>291.0</v>
      </c>
      <c r="K29" s="85">
        <v>284.0</v>
      </c>
      <c r="L29" s="85">
        <v>260.0</v>
      </c>
      <c r="M29" s="85">
        <v>175.0</v>
      </c>
      <c r="N29" s="85">
        <v>203.0</v>
      </c>
      <c r="O29" s="85">
        <v>286.0</v>
      </c>
      <c r="P29" s="85">
        <v>274.0</v>
      </c>
      <c r="Q29" s="69">
        <v>366.0</v>
      </c>
      <c r="R29" s="85">
        <v>357.0</v>
      </c>
      <c r="S29" s="85">
        <v>348.0</v>
      </c>
      <c r="T29" s="85">
        <v>366.0</v>
      </c>
      <c r="U29" s="86">
        <v>394.0</v>
      </c>
      <c r="V29" s="85">
        <v>383.0</v>
      </c>
      <c r="W29" s="85"/>
      <c r="X29" s="85"/>
      <c r="Y29" s="85"/>
      <c r="Z29" s="85"/>
      <c r="AA29" s="87"/>
      <c r="AB29" s="87"/>
      <c r="AC29" s="88"/>
      <c r="AD29" s="88"/>
      <c r="AE29" s="88"/>
      <c r="AF29" s="88"/>
      <c r="AG29" s="88"/>
      <c r="AH29" s="88"/>
      <c r="AI29" s="88"/>
      <c r="AJ29" s="88"/>
      <c r="AK29" s="88"/>
      <c r="AL29" s="88"/>
      <c r="AM29" s="89"/>
      <c r="AN29" s="88"/>
      <c r="AO29" s="88"/>
    </row>
    <row r="30" ht="133.5" customHeight="1">
      <c r="A30" s="90" t="s">
        <v>35</v>
      </c>
      <c r="B30" s="91" t="s">
        <v>1368</v>
      </c>
      <c r="C30" s="91" t="s">
        <v>1369</v>
      </c>
      <c r="D30" s="91" t="s">
        <v>1370</v>
      </c>
      <c r="E30" s="91" t="s">
        <v>1371</v>
      </c>
      <c r="F30" s="91" t="s">
        <v>1372</v>
      </c>
      <c r="G30" s="91" t="s">
        <v>1373</v>
      </c>
      <c r="H30" s="91" t="s">
        <v>1374</v>
      </c>
      <c r="I30" s="91" t="s">
        <v>1375</v>
      </c>
      <c r="J30" s="91" t="s">
        <v>1376</v>
      </c>
      <c r="K30" s="91" t="s">
        <v>1377</v>
      </c>
      <c r="L30" s="91" t="s">
        <v>1377</v>
      </c>
      <c r="M30" s="91" t="s">
        <v>1377</v>
      </c>
      <c r="N30" s="91" t="s">
        <v>1377</v>
      </c>
      <c r="O30" s="91" t="s">
        <v>1378</v>
      </c>
      <c r="P30" s="91" t="s">
        <v>1379</v>
      </c>
      <c r="Q30" s="91" t="s">
        <v>1380</v>
      </c>
      <c r="R30" s="91" t="s">
        <v>1381</v>
      </c>
      <c r="S30" s="91" t="s">
        <v>1382</v>
      </c>
      <c r="T30" s="91" t="s">
        <v>1383</v>
      </c>
      <c r="U30" s="93" t="s">
        <v>1384</v>
      </c>
      <c r="V30" s="91" t="s">
        <v>1385</v>
      </c>
      <c r="W30" s="91"/>
      <c r="X30" s="91"/>
      <c r="Y30" s="91"/>
      <c r="Z30" s="91"/>
      <c r="AA30" s="91"/>
      <c r="AB30" s="94"/>
      <c r="AC30" s="95"/>
      <c r="AD30" s="95"/>
      <c r="AE30" s="95"/>
      <c r="AF30" s="95"/>
      <c r="AG30" s="95"/>
      <c r="AH30" s="95"/>
      <c r="AI30" s="95"/>
      <c r="AJ30" s="95"/>
      <c r="AK30" s="95"/>
      <c r="AL30" s="95"/>
      <c r="AM30" s="95"/>
      <c r="AN30" s="95"/>
      <c r="AO30" s="95"/>
    </row>
    <row r="31">
      <c r="A31" s="96" t="s">
        <v>36</v>
      </c>
      <c r="B31" s="97">
        <v>1.0</v>
      </c>
      <c r="C31" s="97">
        <v>1.0</v>
      </c>
      <c r="D31" s="98">
        <v>0.0</v>
      </c>
      <c r="E31" s="98">
        <v>0.0</v>
      </c>
      <c r="F31" s="97">
        <v>1.0</v>
      </c>
      <c r="G31" s="98">
        <v>0.0</v>
      </c>
      <c r="H31" s="98">
        <v>0.0</v>
      </c>
      <c r="I31" s="98">
        <v>0.0</v>
      </c>
      <c r="J31" s="97">
        <v>1.0</v>
      </c>
      <c r="K31" s="97">
        <v>1.0</v>
      </c>
      <c r="L31" s="97">
        <v>1.0</v>
      </c>
      <c r="M31" s="97">
        <v>1.0</v>
      </c>
      <c r="N31" s="97">
        <v>1.0</v>
      </c>
      <c r="O31" s="98">
        <v>0.0</v>
      </c>
      <c r="P31" s="97">
        <v>1.0</v>
      </c>
      <c r="Q31" s="97">
        <v>1.0</v>
      </c>
      <c r="R31" s="97">
        <v>1.0</v>
      </c>
      <c r="S31" s="97">
        <v>1.0</v>
      </c>
      <c r="T31" s="97">
        <v>1.0</v>
      </c>
      <c r="U31" s="98">
        <v>0.0</v>
      </c>
      <c r="V31" s="98">
        <v>0.0</v>
      </c>
      <c r="W31" s="98">
        <v>0.0</v>
      </c>
      <c r="X31" s="98">
        <v>0.0</v>
      </c>
      <c r="Y31" s="98">
        <v>0.0</v>
      </c>
      <c r="Z31" s="98">
        <v>0.0</v>
      </c>
      <c r="AA31" s="98">
        <v>0.0</v>
      </c>
      <c r="AB31" s="99"/>
      <c r="AC31" s="100"/>
      <c r="AD31" s="100"/>
      <c r="AE31" s="100"/>
      <c r="AF31" s="100"/>
      <c r="AG31" s="100"/>
      <c r="AH31" s="100"/>
      <c r="AI31" s="100"/>
      <c r="AJ31" s="100"/>
      <c r="AK31" s="100"/>
      <c r="AL31" s="100"/>
      <c r="AM31" s="100"/>
      <c r="AN31" s="100"/>
      <c r="AO31" s="100"/>
    </row>
    <row r="32">
      <c r="A32" s="101" t="s">
        <v>37</v>
      </c>
      <c r="B32" s="102">
        <f t="shared" ref="B32:V32" si="7">IFERROR(B26/B8, 0)</f>
        <v>1.02393617</v>
      </c>
      <c r="C32" s="102">
        <f t="shared" si="7"/>
        <v>0.9578947368</v>
      </c>
      <c r="D32" s="102">
        <f t="shared" si="7"/>
        <v>0.9357601713</v>
      </c>
      <c r="E32" s="102">
        <f t="shared" si="7"/>
        <v>0.8781725888</v>
      </c>
      <c r="F32" s="102">
        <f t="shared" si="7"/>
        <v>1.085271318</v>
      </c>
      <c r="G32" s="102">
        <f t="shared" si="7"/>
        <v>0.7905759162</v>
      </c>
      <c r="H32" s="102">
        <f t="shared" si="7"/>
        <v>0.8610421836</v>
      </c>
      <c r="I32" s="102">
        <f t="shared" si="7"/>
        <v>0.8883248731</v>
      </c>
      <c r="J32" s="102">
        <f t="shared" si="7"/>
        <v>1.109181141</v>
      </c>
      <c r="K32" s="102">
        <f t="shared" si="7"/>
        <v>0.9750623441</v>
      </c>
      <c r="L32" s="102">
        <f t="shared" si="7"/>
        <v>1.009779951</v>
      </c>
      <c r="M32" s="102">
        <f t="shared" si="7"/>
        <v>0.9965753425</v>
      </c>
      <c r="N32" s="102">
        <f t="shared" si="7"/>
        <v>1.068862275</v>
      </c>
      <c r="O32" s="102">
        <f t="shared" si="7"/>
        <v>0.9071618037</v>
      </c>
      <c r="P32" s="102">
        <f t="shared" si="7"/>
        <v>1.052631579</v>
      </c>
      <c r="Q32" s="102">
        <f t="shared" si="7"/>
        <v>0.9144144144</v>
      </c>
      <c r="R32" s="102">
        <f t="shared" si="7"/>
        <v>0.9586206897</v>
      </c>
      <c r="S32" s="102">
        <f t="shared" si="7"/>
        <v>0.9902676399</v>
      </c>
      <c r="T32" s="102">
        <f t="shared" si="7"/>
        <v>1.002212389</v>
      </c>
      <c r="U32" s="102">
        <f t="shared" si="7"/>
        <v>0.869047619</v>
      </c>
      <c r="V32" s="102">
        <f t="shared" si="7"/>
        <v>0.7043478261</v>
      </c>
      <c r="W32" s="102"/>
      <c r="X32" s="102"/>
      <c r="Y32" s="102"/>
      <c r="Z32" s="102"/>
      <c r="AA32" s="102"/>
    </row>
    <row r="33">
      <c r="A33" s="105" t="s">
        <v>38</v>
      </c>
      <c r="B33" s="106">
        <f t="shared" ref="B33:AA33" si="8">IFERROR(B19/B25, 0)</f>
        <v>0.0826446281</v>
      </c>
      <c r="C33" s="106">
        <f t="shared" si="8"/>
        <v>0.1890756303</v>
      </c>
      <c r="D33" s="106">
        <f t="shared" si="8"/>
        <v>0.1145833333</v>
      </c>
      <c r="E33" s="106">
        <f t="shared" si="8"/>
        <v>0.1886792453</v>
      </c>
      <c r="F33" s="106">
        <f t="shared" si="8"/>
        <v>0.1577060932</v>
      </c>
      <c r="G33" s="106">
        <f t="shared" si="8"/>
        <v>0.5034013605</v>
      </c>
      <c r="H33" s="106">
        <f t="shared" si="8"/>
        <v>0.3043478261</v>
      </c>
      <c r="I33" s="106">
        <f t="shared" si="8"/>
        <v>0.219047619</v>
      </c>
      <c r="J33" s="106">
        <f t="shared" si="8"/>
        <v>0.1450617284</v>
      </c>
      <c r="K33" s="106">
        <f t="shared" si="8"/>
        <v>0.2122186495</v>
      </c>
      <c r="L33" s="106">
        <f t="shared" si="8"/>
        <v>0.3333333333</v>
      </c>
      <c r="M33" s="106">
        <f t="shared" si="8"/>
        <v>0.3101851852</v>
      </c>
      <c r="N33" s="106">
        <f t="shared" si="8"/>
        <v>0.3034482759</v>
      </c>
      <c r="O33" s="106">
        <f t="shared" si="8"/>
        <v>0.1603773585</v>
      </c>
      <c r="P33" s="106">
        <f t="shared" si="8"/>
        <v>0.06148867314</v>
      </c>
      <c r="Q33" s="106">
        <f t="shared" si="8"/>
        <v>0.1036585366</v>
      </c>
      <c r="R33" s="106">
        <f t="shared" si="8"/>
        <v>0.1268436578</v>
      </c>
      <c r="S33" s="106">
        <f t="shared" si="8"/>
        <v>0.08139534884</v>
      </c>
      <c r="T33" s="106">
        <f t="shared" si="8"/>
        <v>0.136239782</v>
      </c>
      <c r="U33" s="106">
        <f t="shared" si="8"/>
        <v>0.2263610315</v>
      </c>
      <c r="V33" s="106">
        <f t="shared" si="8"/>
        <v>0.3374485597</v>
      </c>
      <c r="W33" s="106">
        <f t="shared" si="8"/>
        <v>0</v>
      </c>
      <c r="X33" s="106">
        <f t="shared" si="8"/>
        <v>0</v>
      </c>
      <c r="Y33" s="106">
        <f t="shared" si="8"/>
        <v>0</v>
      </c>
      <c r="Z33" s="106">
        <f t="shared" si="8"/>
        <v>0</v>
      </c>
      <c r="AA33" s="106">
        <f t="shared" si="8"/>
        <v>0</v>
      </c>
    </row>
    <row r="34">
      <c r="A34" s="109" t="s">
        <v>39</v>
      </c>
      <c r="B34" s="110">
        <f t="shared" ref="B34:AA34" si="9">IFERROR(B27/B25, 0)</f>
        <v>0.8099173554</v>
      </c>
      <c r="C34" s="110">
        <f t="shared" si="9"/>
        <v>0.5294117647</v>
      </c>
      <c r="D34" s="110">
        <f t="shared" si="9"/>
        <v>0.6527777778</v>
      </c>
      <c r="E34" s="110">
        <f t="shared" si="9"/>
        <v>0.7688679245</v>
      </c>
      <c r="F34" s="110">
        <f t="shared" si="9"/>
        <v>0.6308243728</v>
      </c>
      <c r="G34" s="110">
        <f t="shared" si="9"/>
        <v>0.6870748299</v>
      </c>
      <c r="H34" s="110">
        <f t="shared" si="9"/>
        <v>0.884057971</v>
      </c>
      <c r="I34" s="110">
        <f t="shared" si="9"/>
        <v>0.7238095238</v>
      </c>
      <c r="J34" s="110">
        <f t="shared" si="9"/>
        <v>0.6203703704</v>
      </c>
      <c r="K34" s="110">
        <f t="shared" si="9"/>
        <v>0.7620578778</v>
      </c>
      <c r="L34" s="110">
        <f t="shared" si="9"/>
        <v>0.8015873016</v>
      </c>
      <c r="M34" s="110">
        <f t="shared" si="9"/>
        <v>0.8703703704</v>
      </c>
      <c r="N34" s="110">
        <f t="shared" si="9"/>
        <v>0.9689655172</v>
      </c>
      <c r="O34" s="110">
        <f t="shared" si="9"/>
        <v>0.7358490566</v>
      </c>
      <c r="P34" s="110">
        <f t="shared" si="9"/>
        <v>0.7443365696</v>
      </c>
      <c r="Q34" s="110">
        <f t="shared" si="9"/>
        <v>0.7134146341</v>
      </c>
      <c r="R34" s="110">
        <f t="shared" si="9"/>
        <v>0.7227138643</v>
      </c>
      <c r="S34" s="110">
        <f t="shared" si="9"/>
        <v>0.7441860465</v>
      </c>
      <c r="T34" s="110">
        <f t="shared" si="9"/>
        <v>0.7465940054</v>
      </c>
      <c r="U34" s="110">
        <f t="shared" si="9"/>
        <v>0.6389684814</v>
      </c>
      <c r="V34" s="110">
        <f t="shared" si="9"/>
        <v>0.5555555556</v>
      </c>
      <c r="W34" s="110">
        <f t="shared" si="9"/>
        <v>0</v>
      </c>
      <c r="X34" s="110">
        <f t="shared" si="9"/>
        <v>0</v>
      </c>
      <c r="Y34" s="110">
        <f t="shared" si="9"/>
        <v>0</v>
      </c>
      <c r="Z34" s="110">
        <f t="shared" si="9"/>
        <v>0</v>
      </c>
      <c r="AA34" s="110">
        <f t="shared" si="9"/>
        <v>0</v>
      </c>
      <c r="AB34" s="112"/>
      <c r="AC34" s="113"/>
      <c r="AD34" s="113"/>
      <c r="AE34" s="113"/>
      <c r="AF34" s="113"/>
      <c r="AG34" s="113"/>
      <c r="AH34" s="113"/>
      <c r="AI34" s="113"/>
      <c r="AJ34" s="113"/>
      <c r="AK34" s="113"/>
      <c r="AL34" s="113"/>
      <c r="AM34" s="113"/>
      <c r="AN34" s="113"/>
      <c r="AO34" s="113"/>
    </row>
    <row r="35">
      <c r="A35" s="114" t="s">
        <v>40</v>
      </c>
      <c r="B35" s="115"/>
      <c r="C35" s="115"/>
      <c r="D35" s="115"/>
      <c r="E35" s="115"/>
      <c r="F35" s="115"/>
      <c r="G35" s="115"/>
      <c r="H35" s="115"/>
      <c r="I35" s="115"/>
      <c r="J35" s="115"/>
      <c r="K35" s="115"/>
      <c r="L35" s="115"/>
      <c r="M35" s="115"/>
      <c r="N35" s="115"/>
      <c r="O35" s="115"/>
      <c r="P35" s="115"/>
      <c r="Q35" s="115"/>
      <c r="R35" s="115"/>
      <c r="S35" s="115"/>
      <c r="T35" s="115"/>
      <c r="U35" s="116"/>
      <c r="V35" s="115"/>
      <c r="W35" s="115"/>
      <c r="X35" s="115"/>
      <c r="Y35" s="115"/>
      <c r="Z35" s="115"/>
      <c r="AA35" s="115"/>
      <c r="AB35" s="112"/>
      <c r="AC35" s="113"/>
      <c r="AD35" s="113"/>
      <c r="AE35" s="113"/>
      <c r="AF35" s="113"/>
      <c r="AG35" s="113"/>
      <c r="AH35" s="113"/>
      <c r="AI35" s="113"/>
      <c r="AJ35" s="113"/>
      <c r="AK35" s="113"/>
      <c r="AL35" s="113"/>
      <c r="AM35" s="113"/>
      <c r="AN35" s="113"/>
      <c r="AO35" s="113"/>
    </row>
    <row r="36">
      <c r="A36" s="117" t="s">
        <v>41</v>
      </c>
      <c r="B36" s="118"/>
      <c r="C36" s="119"/>
      <c r="D36" s="119"/>
      <c r="E36" s="119"/>
      <c r="F36" s="119"/>
      <c r="G36" s="119"/>
      <c r="H36" s="119"/>
      <c r="I36" s="119"/>
      <c r="J36" s="119"/>
      <c r="K36" s="119"/>
      <c r="L36" s="119"/>
      <c r="M36" s="119"/>
      <c r="N36" s="119"/>
      <c r="O36" s="119"/>
      <c r="P36" s="119"/>
      <c r="Q36" s="119"/>
      <c r="R36" s="119"/>
      <c r="S36" s="119"/>
      <c r="T36" s="119"/>
      <c r="U36" s="120"/>
      <c r="V36" s="119"/>
      <c r="W36" s="119"/>
      <c r="X36" s="119"/>
      <c r="Y36" s="119"/>
      <c r="Z36" s="119"/>
      <c r="AA36" s="119"/>
      <c r="AB36" s="121"/>
      <c r="AC36" s="121"/>
      <c r="AD36" s="121"/>
      <c r="AE36" s="121"/>
      <c r="AF36" s="121"/>
      <c r="AG36" s="99"/>
      <c r="AH36" s="99"/>
      <c r="AI36" s="99"/>
      <c r="AJ36" s="99"/>
      <c r="AK36" s="99"/>
      <c r="AL36" s="99"/>
      <c r="AM36" s="99"/>
      <c r="AN36" s="99"/>
      <c r="AO36" s="99"/>
    </row>
    <row r="37">
      <c r="A37" s="184" t="s">
        <v>141</v>
      </c>
      <c r="B37" s="185">
        <f t="shared" ref="B37:AA37" si="10">B78/B8</f>
        <v>0</v>
      </c>
      <c r="C37" s="185">
        <f t="shared" si="10"/>
        <v>0</v>
      </c>
      <c r="D37" s="185">
        <f t="shared" si="10"/>
        <v>0</v>
      </c>
      <c r="E37" s="185">
        <f t="shared" si="10"/>
        <v>0</v>
      </c>
      <c r="F37" s="185">
        <f t="shared" si="10"/>
        <v>0</v>
      </c>
      <c r="G37" s="185">
        <f t="shared" si="10"/>
        <v>0</v>
      </c>
      <c r="H37" s="185">
        <f t="shared" si="10"/>
        <v>0</v>
      </c>
      <c r="I37" s="185">
        <f t="shared" si="10"/>
        <v>0</v>
      </c>
      <c r="J37" s="185">
        <f t="shared" si="10"/>
        <v>0</v>
      </c>
      <c r="K37" s="185">
        <f t="shared" si="10"/>
        <v>0</v>
      </c>
      <c r="L37" s="185">
        <f t="shared" si="10"/>
        <v>0</v>
      </c>
      <c r="M37" s="185">
        <f t="shared" si="10"/>
        <v>0</v>
      </c>
      <c r="N37" s="185">
        <f t="shared" si="10"/>
        <v>0</v>
      </c>
      <c r="O37" s="185">
        <f t="shared" si="10"/>
        <v>0</v>
      </c>
      <c r="P37" s="185">
        <f t="shared" si="10"/>
        <v>0</v>
      </c>
      <c r="Q37" s="185">
        <f t="shared" si="10"/>
        <v>0</v>
      </c>
      <c r="R37" s="185">
        <f t="shared" si="10"/>
        <v>0</v>
      </c>
      <c r="S37" s="185">
        <f t="shared" si="10"/>
        <v>0</v>
      </c>
      <c r="T37" s="185">
        <f t="shared" si="10"/>
        <v>0</v>
      </c>
      <c r="U37" s="185">
        <f t="shared" si="10"/>
        <v>0</v>
      </c>
      <c r="V37" s="185">
        <f t="shared" si="10"/>
        <v>0</v>
      </c>
      <c r="W37" s="185" t="str">
        <f t="shared" si="10"/>
        <v>#DIV/0!</v>
      </c>
      <c r="X37" s="185" t="str">
        <f t="shared" si="10"/>
        <v>#DIV/0!</v>
      </c>
      <c r="Y37" s="185" t="str">
        <f t="shared" si="10"/>
        <v>#DIV/0!</v>
      </c>
      <c r="Z37" s="185" t="str">
        <f t="shared" si="10"/>
        <v>#DIV/0!</v>
      </c>
      <c r="AA37" s="185" t="str">
        <f t="shared" si="10"/>
        <v>#DIV/0!</v>
      </c>
      <c r="AB37" s="240"/>
      <c r="AC37" s="186"/>
      <c r="AD37" s="186"/>
      <c r="AE37" s="186"/>
      <c r="AF37" s="186"/>
      <c r="AG37" s="186"/>
      <c r="AH37" s="186"/>
      <c r="AI37" s="186"/>
      <c r="AJ37" s="186"/>
      <c r="AK37" s="186"/>
      <c r="AL37" s="186"/>
      <c r="AM37" s="186"/>
      <c r="AN37" s="186"/>
      <c r="AO37" s="186"/>
    </row>
    <row r="38">
      <c r="A38" s="187" t="s">
        <v>42</v>
      </c>
      <c r="B38" s="191">
        <v>0.38</v>
      </c>
      <c r="C38" s="185">
        <v>0.4316</v>
      </c>
      <c r="D38" s="191">
        <v>0.4</v>
      </c>
      <c r="E38" s="191">
        <v>0.44</v>
      </c>
      <c r="F38" s="191">
        <v>0.42</v>
      </c>
      <c r="G38" s="191">
        <v>0.64</v>
      </c>
      <c r="H38" s="191">
        <v>0.35</v>
      </c>
      <c r="I38" s="191">
        <v>0.36</v>
      </c>
      <c r="J38" s="191">
        <v>0.43</v>
      </c>
      <c r="K38" s="191">
        <v>0.34</v>
      </c>
      <c r="L38" s="191">
        <v>0.52</v>
      </c>
      <c r="M38" s="191">
        <v>0.44</v>
      </c>
      <c r="N38" s="191">
        <v>0.39</v>
      </c>
      <c r="O38" s="191">
        <v>0.35</v>
      </c>
      <c r="P38" s="191">
        <v>0.43</v>
      </c>
      <c r="Q38" s="191">
        <v>0.4</v>
      </c>
      <c r="R38" s="191">
        <v>0.36</v>
      </c>
      <c r="S38" s="191">
        <v>0.35</v>
      </c>
      <c r="T38" s="191">
        <v>0.42</v>
      </c>
      <c r="U38" s="191">
        <v>0.4</v>
      </c>
      <c r="V38" s="191">
        <v>0.37</v>
      </c>
      <c r="W38" s="185">
        <v>0.0</v>
      </c>
      <c r="X38" s="185">
        <v>0.0</v>
      </c>
      <c r="Y38" s="185">
        <v>0.0</v>
      </c>
      <c r="Z38" s="185">
        <v>0.0</v>
      </c>
      <c r="AA38" s="185">
        <v>0.0</v>
      </c>
      <c r="AB38" s="188"/>
      <c r="AC38" s="189"/>
      <c r="AD38" s="189"/>
      <c r="AE38" s="189"/>
      <c r="AF38" s="189"/>
      <c r="AG38" s="147"/>
      <c r="AH38" s="147"/>
      <c r="AI38" s="147"/>
      <c r="AJ38" s="147"/>
      <c r="AK38" s="147"/>
      <c r="AL38" s="147"/>
      <c r="AM38" s="147"/>
      <c r="AN38" s="147"/>
      <c r="AO38" s="147"/>
    </row>
    <row r="39">
      <c r="A39" s="190" t="s">
        <v>43</v>
      </c>
      <c r="B39" s="185">
        <v>1.0</v>
      </c>
      <c r="C39" s="185">
        <v>1.0</v>
      </c>
      <c r="D39" s="191">
        <v>1.0</v>
      </c>
      <c r="E39" s="191">
        <v>1.0</v>
      </c>
      <c r="F39" s="191">
        <v>1.0</v>
      </c>
      <c r="G39" s="191">
        <v>1.0</v>
      </c>
      <c r="H39" s="191">
        <v>1.0</v>
      </c>
      <c r="I39" s="191">
        <v>1.0</v>
      </c>
      <c r="J39" s="191">
        <v>1.0</v>
      </c>
      <c r="K39" s="185">
        <v>0.0</v>
      </c>
      <c r="L39" s="191">
        <v>1.0</v>
      </c>
      <c r="M39" s="191">
        <v>1.0</v>
      </c>
      <c r="N39" s="191">
        <v>1.0</v>
      </c>
      <c r="O39" s="191">
        <v>1.0</v>
      </c>
      <c r="P39" s="191">
        <v>1.0</v>
      </c>
      <c r="Q39" s="191">
        <v>1.0</v>
      </c>
      <c r="R39" s="191">
        <v>1.0</v>
      </c>
      <c r="S39" s="191">
        <v>1.0</v>
      </c>
      <c r="T39" s="191">
        <v>1.0</v>
      </c>
      <c r="U39" s="191">
        <v>1.0</v>
      </c>
      <c r="V39" s="191">
        <v>1.0</v>
      </c>
      <c r="W39" s="185">
        <v>0.0</v>
      </c>
      <c r="X39" s="185">
        <v>0.0</v>
      </c>
      <c r="Y39" s="185">
        <v>0.0</v>
      </c>
      <c r="Z39" s="185">
        <v>0.0</v>
      </c>
      <c r="AA39" s="185">
        <v>0.0</v>
      </c>
      <c r="AB39" s="189"/>
      <c r="AC39" s="189"/>
      <c r="AD39" s="189"/>
      <c r="AE39" s="189"/>
      <c r="AF39" s="189"/>
      <c r="AG39" s="147"/>
      <c r="AH39" s="147"/>
      <c r="AI39" s="147"/>
      <c r="AJ39" s="147"/>
      <c r="AK39" s="147"/>
      <c r="AL39" s="147"/>
      <c r="AM39" s="147"/>
      <c r="AN39" s="147"/>
      <c r="AO39" s="147"/>
    </row>
    <row r="40">
      <c r="A40" s="750" t="s">
        <v>44</v>
      </c>
      <c r="B40" s="730">
        <f t="shared" ref="B40:AA40" si="11">(B31*0.7) + (IF(B38 &gt;= 30%, 1, 0)*0.15) + (B39*0.15)</f>
        <v>1</v>
      </c>
      <c r="C40" s="730">
        <f t="shared" si="11"/>
        <v>1</v>
      </c>
      <c r="D40" s="730">
        <f t="shared" si="11"/>
        <v>0.3</v>
      </c>
      <c r="E40" s="730">
        <f t="shared" si="11"/>
        <v>0.3</v>
      </c>
      <c r="F40" s="730">
        <f t="shared" si="11"/>
        <v>1</v>
      </c>
      <c r="G40" s="730">
        <f t="shared" si="11"/>
        <v>0.3</v>
      </c>
      <c r="H40" s="730">
        <f t="shared" si="11"/>
        <v>0.3</v>
      </c>
      <c r="I40" s="730">
        <f t="shared" si="11"/>
        <v>0.3</v>
      </c>
      <c r="J40" s="730">
        <f t="shared" si="11"/>
        <v>1</v>
      </c>
      <c r="K40" s="730">
        <f t="shared" si="11"/>
        <v>0.85</v>
      </c>
      <c r="L40" s="730">
        <f t="shared" si="11"/>
        <v>1</v>
      </c>
      <c r="M40" s="730">
        <f t="shared" si="11"/>
        <v>1</v>
      </c>
      <c r="N40" s="730">
        <f t="shared" si="11"/>
        <v>1</v>
      </c>
      <c r="O40" s="730">
        <f t="shared" si="11"/>
        <v>0.3</v>
      </c>
      <c r="P40" s="730">
        <f t="shared" si="11"/>
        <v>1</v>
      </c>
      <c r="Q40" s="730">
        <f t="shared" si="11"/>
        <v>1</v>
      </c>
      <c r="R40" s="730">
        <f t="shared" si="11"/>
        <v>1</v>
      </c>
      <c r="S40" s="730">
        <f t="shared" si="11"/>
        <v>1</v>
      </c>
      <c r="T40" s="730">
        <f t="shared" si="11"/>
        <v>1</v>
      </c>
      <c r="U40" s="730">
        <f t="shared" si="11"/>
        <v>0.3</v>
      </c>
      <c r="V40" s="730">
        <f t="shared" si="11"/>
        <v>0.3</v>
      </c>
      <c r="W40" s="730">
        <f t="shared" si="11"/>
        <v>0</v>
      </c>
      <c r="X40" s="730">
        <f t="shared" si="11"/>
        <v>0</v>
      </c>
      <c r="Y40" s="730">
        <f t="shared" si="11"/>
        <v>0</v>
      </c>
      <c r="Z40" s="730">
        <f t="shared" si="11"/>
        <v>0</v>
      </c>
      <c r="AA40" s="730">
        <f t="shared" si="11"/>
        <v>0</v>
      </c>
      <c r="AB40" s="731"/>
      <c r="AC40" s="731"/>
      <c r="AD40" s="731"/>
      <c r="AE40" s="731"/>
      <c r="AF40" s="731"/>
      <c r="AG40" s="732"/>
      <c r="AH40" s="732"/>
      <c r="AI40" s="732"/>
      <c r="AJ40" s="732"/>
      <c r="AK40" s="732"/>
      <c r="AL40" s="732"/>
      <c r="AM40" s="732"/>
      <c r="AN40" s="732"/>
      <c r="AO40" s="147"/>
    </row>
    <row r="41" ht="27.75" customHeight="1">
      <c r="A41" s="193" t="s">
        <v>142</v>
      </c>
      <c r="B41" s="194"/>
      <c r="O41" s="730">
        <v>0.3</v>
      </c>
      <c r="P41" s="730">
        <v>1.0</v>
      </c>
      <c r="Q41" s="730">
        <v>1.0</v>
      </c>
      <c r="R41" s="730">
        <v>1.0</v>
      </c>
      <c r="S41" s="730">
        <v>1.0</v>
      </c>
      <c r="T41" s="730">
        <v>1.0</v>
      </c>
      <c r="U41" s="31"/>
    </row>
    <row r="42" ht="15.0" customHeight="1">
      <c r="A42" s="126" t="s">
        <v>45</v>
      </c>
      <c r="B42" s="127"/>
      <c r="C42" s="128"/>
      <c r="D42" s="128"/>
      <c r="E42" s="128"/>
      <c r="F42" s="128"/>
      <c r="G42" s="128"/>
      <c r="H42" s="128"/>
      <c r="I42" s="128"/>
      <c r="J42" s="128"/>
      <c r="K42" s="128"/>
      <c r="L42" s="128"/>
      <c r="M42" s="128"/>
      <c r="N42" s="128"/>
      <c r="O42" s="128"/>
      <c r="P42" s="128"/>
      <c r="Q42" s="128"/>
      <c r="R42" s="128"/>
      <c r="S42" s="128"/>
      <c r="T42" s="128"/>
      <c r="U42" s="129"/>
      <c r="V42" s="128"/>
      <c r="W42" s="128"/>
      <c r="X42" s="128"/>
      <c r="Y42" s="128"/>
      <c r="Z42" s="128"/>
      <c r="AA42" s="128"/>
      <c r="AB42" s="128"/>
      <c r="AC42" s="128"/>
      <c r="AD42" s="130"/>
      <c r="AE42" s="130"/>
      <c r="AF42" s="130"/>
      <c r="AG42" s="130"/>
      <c r="AH42" s="130"/>
      <c r="AI42" s="130"/>
      <c r="AJ42" s="130"/>
      <c r="AK42" s="130"/>
      <c r="AL42" s="130"/>
      <c r="AM42" s="130"/>
      <c r="AN42" s="130"/>
      <c r="AO42" s="130"/>
    </row>
    <row r="43" ht="15.0" customHeight="1">
      <c r="A43" s="198" t="s">
        <v>1386</v>
      </c>
      <c r="B43" s="132">
        <v>39.0</v>
      </c>
      <c r="C43" s="133">
        <v>33.0</v>
      </c>
      <c r="D43" s="133">
        <v>43.0</v>
      </c>
      <c r="E43" s="133">
        <f>24+13</f>
        <v>37</v>
      </c>
      <c r="F43" s="133">
        <f>29+13</f>
        <v>42</v>
      </c>
      <c r="G43" s="133">
        <v>38.0</v>
      </c>
      <c r="H43" s="133">
        <v>36.0</v>
      </c>
      <c r="I43" s="133">
        <v>22.0</v>
      </c>
      <c r="J43" s="133">
        <v>40.0</v>
      </c>
      <c r="K43" s="133">
        <v>42.0</v>
      </c>
      <c r="L43" s="133">
        <v>48.0</v>
      </c>
      <c r="M43" s="133">
        <v>32.0</v>
      </c>
      <c r="N43" s="133">
        <v>29.0</v>
      </c>
      <c r="O43" s="133">
        <v>50.0</v>
      </c>
      <c r="P43" s="133">
        <v>44.0</v>
      </c>
      <c r="Q43" s="133">
        <v>43.0</v>
      </c>
      <c r="R43" s="133">
        <v>36.0</v>
      </c>
      <c r="S43" s="133">
        <v>48.0</v>
      </c>
      <c r="T43" s="133">
        <v>41.0</v>
      </c>
      <c r="U43" s="134">
        <v>45.0</v>
      </c>
      <c r="V43" s="133">
        <v>50.0</v>
      </c>
      <c r="W43" s="133"/>
      <c r="X43" s="133"/>
      <c r="Y43" s="133"/>
      <c r="Z43" s="133"/>
      <c r="AA43" s="133"/>
      <c r="AB43" s="133"/>
      <c r="AC43" s="130"/>
      <c r="AD43" s="130"/>
      <c r="AE43" s="130"/>
      <c r="AF43" s="130"/>
      <c r="AG43" s="130"/>
      <c r="AH43" s="130"/>
      <c r="AI43" s="130"/>
      <c r="AJ43" s="130"/>
      <c r="AK43" s="130"/>
      <c r="AL43" s="130"/>
      <c r="AM43" s="130"/>
      <c r="AN43" s="130"/>
      <c r="AO43" s="130"/>
    </row>
    <row r="44" ht="15.0" customHeight="1">
      <c r="A44" s="196" t="s">
        <v>1387</v>
      </c>
      <c r="B44" s="132">
        <v>40.0</v>
      </c>
      <c r="C44" s="133">
        <v>41.0</v>
      </c>
      <c r="D44" s="133">
        <v>49.0</v>
      </c>
      <c r="E44" s="133">
        <f>59-8-13</f>
        <v>38</v>
      </c>
      <c r="F44" s="133">
        <v>41.0</v>
      </c>
      <c r="G44" s="133">
        <v>42.0</v>
      </c>
      <c r="H44" s="133">
        <v>39.0</v>
      </c>
      <c r="I44" s="133">
        <v>25.0</v>
      </c>
      <c r="J44" s="133">
        <v>48.0</v>
      </c>
      <c r="K44" s="133">
        <v>53.0</v>
      </c>
      <c r="L44" s="133">
        <v>0.0</v>
      </c>
      <c r="M44" s="133">
        <v>37.0</v>
      </c>
      <c r="N44" s="133">
        <v>43.0</v>
      </c>
      <c r="O44" s="133">
        <v>60.0</v>
      </c>
      <c r="P44" s="133">
        <v>49.0</v>
      </c>
      <c r="Q44" s="133">
        <v>51.0</v>
      </c>
      <c r="R44" s="133">
        <v>44.0</v>
      </c>
      <c r="S44" s="133">
        <v>38.0</v>
      </c>
      <c r="T44" s="133">
        <v>53.0</v>
      </c>
      <c r="U44" s="134">
        <v>52.0</v>
      </c>
      <c r="V44" s="133">
        <v>52.0</v>
      </c>
      <c r="W44" s="130"/>
      <c r="X44" s="130"/>
      <c r="Y44" s="130"/>
      <c r="Z44" s="130"/>
      <c r="AA44" s="130"/>
      <c r="AB44" s="130"/>
      <c r="AC44" s="130"/>
      <c r="AD44" s="130"/>
      <c r="AE44" s="130"/>
      <c r="AF44" s="130"/>
      <c r="AG44" s="130"/>
      <c r="AH44" s="130"/>
      <c r="AI44" s="130"/>
      <c r="AJ44" s="130"/>
      <c r="AK44" s="130"/>
      <c r="AL44" s="130"/>
      <c r="AM44" s="130"/>
      <c r="AN44" s="130"/>
      <c r="AO44" s="130"/>
    </row>
    <row r="45" ht="15.0" customHeight="1">
      <c r="A45" s="198" t="s">
        <v>1388</v>
      </c>
      <c r="B45" s="132">
        <v>47.0</v>
      </c>
      <c r="C45" s="133">
        <v>35.0</v>
      </c>
      <c r="D45" s="133">
        <v>42.0</v>
      </c>
      <c r="E45" s="133">
        <v>50.0</v>
      </c>
      <c r="F45" s="133">
        <v>55.0</v>
      </c>
      <c r="G45" s="133">
        <v>44.0</v>
      </c>
      <c r="H45" s="133">
        <v>43.0</v>
      </c>
      <c r="I45" s="133">
        <v>29.0</v>
      </c>
      <c r="J45" s="133">
        <v>42.0</v>
      </c>
      <c r="K45" s="133">
        <v>36.0</v>
      </c>
      <c r="L45" s="133">
        <v>52.0</v>
      </c>
      <c r="M45" s="133">
        <v>29.0</v>
      </c>
      <c r="N45" s="133">
        <v>46.0</v>
      </c>
      <c r="O45" s="133">
        <v>45.0</v>
      </c>
      <c r="P45" s="133">
        <v>47.0</v>
      </c>
      <c r="Q45" s="133">
        <v>47.0</v>
      </c>
      <c r="R45" s="133">
        <v>44.0</v>
      </c>
      <c r="S45" s="133">
        <v>21.0</v>
      </c>
      <c r="T45" s="133">
        <v>44.0</v>
      </c>
      <c r="U45" s="134">
        <v>47.0</v>
      </c>
      <c r="V45" s="133">
        <v>47.0</v>
      </c>
      <c r="W45" s="133"/>
      <c r="X45" s="133"/>
      <c r="Y45" s="133"/>
      <c r="Z45" s="133"/>
      <c r="AA45" s="133"/>
      <c r="AB45" s="133"/>
      <c r="AC45" s="130"/>
      <c r="AD45" s="130"/>
      <c r="AE45" s="130"/>
      <c r="AF45" s="130"/>
      <c r="AG45" s="130"/>
      <c r="AH45" s="130"/>
      <c r="AI45" s="130"/>
      <c r="AJ45" s="130"/>
      <c r="AK45" s="130"/>
      <c r="AL45" s="130"/>
      <c r="AM45" s="130"/>
      <c r="AN45" s="130"/>
      <c r="AO45" s="130"/>
    </row>
    <row r="46" ht="15.0" customHeight="1">
      <c r="A46" s="198" t="s">
        <v>517</v>
      </c>
      <c r="B46" s="200" t="s">
        <v>59</v>
      </c>
      <c r="C46" s="200" t="s">
        <v>59</v>
      </c>
      <c r="D46" s="200" t="s">
        <v>59</v>
      </c>
      <c r="E46" s="200" t="s">
        <v>59</v>
      </c>
      <c r="F46" s="200" t="s">
        <v>59</v>
      </c>
      <c r="G46" s="133">
        <v>5.0</v>
      </c>
      <c r="H46" s="133">
        <v>16.0</v>
      </c>
      <c r="I46" s="133">
        <v>8.0</v>
      </c>
      <c r="J46" s="133">
        <v>13.0</v>
      </c>
      <c r="K46" s="133">
        <v>16.0</v>
      </c>
      <c r="L46" s="133">
        <v>13.0</v>
      </c>
      <c r="M46" s="133">
        <v>8.0</v>
      </c>
      <c r="N46" s="133">
        <v>13.0</v>
      </c>
      <c r="O46" s="133">
        <v>13.0</v>
      </c>
      <c r="P46" s="133">
        <v>4.0</v>
      </c>
      <c r="Q46" s="133">
        <v>0.0</v>
      </c>
      <c r="R46" s="133">
        <v>10.0</v>
      </c>
      <c r="S46" s="133">
        <v>16.0</v>
      </c>
      <c r="T46" s="133">
        <v>13.0</v>
      </c>
      <c r="U46" s="134">
        <v>13.0</v>
      </c>
      <c r="V46" s="133">
        <v>0.0</v>
      </c>
      <c r="W46" s="133"/>
      <c r="X46" s="133"/>
      <c r="Y46" s="133"/>
      <c r="Z46" s="133"/>
      <c r="AA46" s="133"/>
      <c r="AB46" s="133"/>
      <c r="AC46" s="130"/>
      <c r="AD46" s="130"/>
      <c r="AE46" s="130"/>
      <c r="AF46" s="130"/>
      <c r="AG46" s="130"/>
      <c r="AH46" s="130"/>
      <c r="AI46" s="130"/>
      <c r="AJ46" s="130"/>
      <c r="AK46" s="130"/>
      <c r="AL46" s="130"/>
      <c r="AM46" s="130"/>
      <c r="AN46" s="130"/>
      <c r="AO46" s="130"/>
    </row>
    <row r="47" ht="15.0" customHeight="1">
      <c r="A47" s="196" t="s">
        <v>1389</v>
      </c>
      <c r="B47" s="132">
        <v>39.0</v>
      </c>
      <c r="C47" s="133">
        <v>37.0</v>
      </c>
      <c r="D47" s="133">
        <v>35.0</v>
      </c>
      <c r="E47" s="200" t="s">
        <v>59</v>
      </c>
      <c r="F47" s="200" t="s">
        <v>59</v>
      </c>
      <c r="G47" s="200" t="s">
        <v>59</v>
      </c>
      <c r="H47" s="133" t="s">
        <v>59</v>
      </c>
      <c r="I47" s="133" t="s">
        <v>59</v>
      </c>
      <c r="J47" s="133" t="s">
        <v>59</v>
      </c>
      <c r="K47" s="133" t="s">
        <v>59</v>
      </c>
      <c r="L47" s="133" t="s">
        <v>59</v>
      </c>
      <c r="M47" s="133" t="s">
        <v>59</v>
      </c>
      <c r="N47" s="133" t="s">
        <v>59</v>
      </c>
      <c r="O47" s="133" t="s">
        <v>59</v>
      </c>
      <c r="P47" s="133" t="s">
        <v>59</v>
      </c>
      <c r="Q47" s="133" t="s">
        <v>59</v>
      </c>
      <c r="R47" s="133" t="s">
        <v>59</v>
      </c>
      <c r="S47" s="133" t="s">
        <v>59</v>
      </c>
      <c r="T47" s="133" t="s">
        <v>59</v>
      </c>
      <c r="U47" s="134" t="s">
        <v>59</v>
      </c>
      <c r="V47" s="133" t="s">
        <v>59</v>
      </c>
      <c r="W47" s="133"/>
      <c r="X47" s="133"/>
      <c r="Y47" s="133"/>
      <c r="Z47" s="133"/>
      <c r="AA47" s="133"/>
      <c r="AB47" s="133"/>
      <c r="AC47" s="130"/>
      <c r="AD47" s="130"/>
      <c r="AE47" s="130"/>
      <c r="AF47" s="130"/>
      <c r="AG47" s="130"/>
      <c r="AH47" s="130"/>
      <c r="AI47" s="130"/>
      <c r="AJ47" s="130"/>
      <c r="AK47" s="130"/>
      <c r="AL47" s="130"/>
      <c r="AM47" s="130"/>
      <c r="AN47" s="130"/>
      <c r="AO47" s="130"/>
    </row>
    <row r="48" ht="15.0" customHeight="1">
      <c r="A48" s="198" t="s">
        <v>1390</v>
      </c>
      <c r="B48" s="132">
        <v>0.0</v>
      </c>
      <c r="C48" s="133">
        <v>35.0</v>
      </c>
      <c r="D48" s="133">
        <v>24.0</v>
      </c>
      <c r="E48" s="133">
        <v>14.0</v>
      </c>
      <c r="F48" s="133">
        <v>0.0</v>
      </c>
      <c r="G48" s="133">
        <v>25.0</v>
      </c>
      <c r="H48" s="133">
        <v>16.0</v>
      </c>
      <c r="I48" s="133">
        <v>13.0</v>
      </c>
      <c r="J48" s="133">
        <v>5.0</v>
      </c>
      <c r="K48" s="133">
        <v>21.0</v>
      </c>
      <c r="L48" s="133">
        <v>25.0</v>
      </c>
      <c r="M48" s="133">
        <v>20.0</v>
      </c>
      <c r="N48" s="133">
        <v>18.0</v>
      </c>
      <c r="O48" s="133">
        <v>29.0</v>
      </c>
      <c r="P48" s="133">
        <v>27.0</v>
      </c>
      <c r="Q48" s="133" t="s">
        <v>59</v>
      </c>
      <c r="R48" s="133" t="s">
        <v>59</v>
      </c>
      <c r="S48" s="133" t="s">
        <v>59</v>
      </c>
      <c r="T48" s="133" t="s">
        <v>59</v>
      </c>
      <c r="U48" s="134" t="s">
        <v>59</v>
      </c>
      <c r="V48" s="133" t="s">
        <v>59</v>
      </c>
      <c r="W48" s="133"/>
      <c r="X48" s="133"/>
      <c r="Y48" s="133"/>
      <c r="Z48" s="133"/>
      <c r="AA48" s="133"/>
      <c r="AB48" s="133"/>
      <c r="AC48" s="130"/>
      <c r="AD48" s="130"/>
      <c r="AE48" s="130"/>
      <c r="AF48" s="130"/>
      <c r="AG48" s="130"/>
      <c r="AH48" s="130"/>
      <c r="AI48" s="130"/>
      <c r="AJ48" s="130"/>
      <c r="AK48" s="130"/>
      <c r="AL48" s="130"/>
      <c r="AM48" s="130"/>
      <c r="AN48" s="130"/>
      <c r="AO48" s="130"/>
    </row>
    <row r="49" ht="15.0" customHeight="1">
      <c r="A49" s="198" t="s">
        <v>1391</v>
      </c>
      <c r="B49" s="132"/>
      <c r="C49" s="133"/>
      <c r="D49" s="133"/>
      <c r="E49" s="133"/>
      <c r="F49" s="133"/>
      <c r="G49" s="133"/>
      <c r="H49" s="133"/>
      <c r="I49" s="133"/>
      <c r="J49" s="133"/>
      <c r="K49" s="133"/>
      <c r="L49" s="133"/>
      <c r="M49" s="133"/>
      <c r="N49" s="133"/>
      <c r="O49" s="133"/>
      <c r="P49" s="133"/>
      <c r="Q49" s="133"/>
      <c r="R49" s="133">
        <v>3.0</v>
      </c>
      <c r="S49" s="133">
        <v>5.0</v>
      </c>
      <c r="T49" s="133">
        <v>5.0</v>
      </c>
      <c r="U49" s="134">
        <v>5.0</v>
      </c>
      <c r="V49" s="133">
        <v>0.0</v>
      </c>
      <c r="W49" s="133"/>
      <c r="X49" s="133"/>
      <c r="Y49" s="133"/>
      <c r="Z49" s="133"/>
      <c r="AA49" s="133"/>
      <c r="AB49" s="133"/>
      <c r="AC49" s="130"/>
      <c r="AD49" s="130"/>
      <c r="AE49" s="130"/>
      <c r="AF49" s="130"/>
      <c r="AG49" s="130"/>
      <c r="AH49" s="130"/>
      <c r="AI49" s="130"/>
      <c r="AJ49" s="130"/>
      <c r="AK49" s="130"/>
      <c r="AL49" s="130"/>
      <c r="AM49" s="130"/>
      <c r="AN49" s="130"/>
      <c r="AO49" s="130"/>
    </row>
    <row r="50" ht="15.0" customHeight="1">
      <c r="A50" s="198" t="s">
        <v>1392</v>
      </c>
      <c r="B50" s="132"/>
      <c r="C50" s="133"/>
      <c r="D50" s="133"/>
      <c r="E50" s="133"/>
      <c r="F50" s="133"/>
      <c r="G50" s="133"/>
      <c r="H50" s="133"/>
      <c r="I50" s="133"/>
      <c r="J50" s="133"/>
      <c r="K50" s="133"/>
      <c r="L50" s="133"/>
      <c r="M50" s="133"/>
      <c r="N50" s="133"/>
      <c r="O50" s="133">
        <v>5.0</v>
      </c>
      <c r="P50" s="133">
        <v>5.0</v>
      </c>
      <c r="Q50" s="133">
        <v>5.0</v>
      </c>
      <c r="R50" s="133">
        <v>5.0</v>
      </c>
      <c r="S50" s="133">
        <v>5.0</v>
      </c>
      <c r="T50" s="133">
        <v>2.0</v>
      </c>
      <c r="U50" s="134">
        <v>3.0</v>
      </c>
      <c r="V50" s="133">
        <v>5.0</v>
      </c>
      <c r="W50" s="133"/>
      <c r="X50" s="133"/>
      <c r="Y50" s="133"/>
      <c r="Z50" s="133"/>
      <c r="AA50" s="133"/>
      <c r="AB50" s="133"/>
      <c r="AC50" s="130"/>
      <c r="AD50" s="130"/>
      <c r="AE50" s="130"/>
      <c r="AF50" s="130"/>
      <c r="AG50" s="130"/>
      <c r="AH50" s="130"/>
      <c r="AI50" s="130"/>
      <c r="AJ50" s="130"/>
      <c r="AK50" s="130"/>
      <c r="AL50" s="130"/>
      <c r="AM50" s="130"/>
      <c r="AN50" s="130"/>
      <c r="AO50" s="130"/>
    </row>
    <row r="51" ht="15.0" customHeight="1">
      <c r="A51" s="196" t="s">
        <v>1393</v>
      </c>
      <c r="B51" s="132">
        <v>29.0</v>
      </c>
      <c r="C51" s="133">
        <v>42.0</v>
      </c>
      <c r="D51" s="133">
        <v>66.0</v>
      </c>
      <c r="E51" s="133">
        <v>25.0</v>
      </c>
      <c r="F51" s="133">
        <v>32.0</v>
      </c>
      <c r="G51" s="133">
        <v>25.0</v>
      </c>
      <c r="H51" s="133">
        <v>39.0</v>
      </c>
      <c r="I51" s="133">
        <v>15.0</v>
      </c>
      <c r="J51" s="133">
        <v>33.0</v>
      </c>
      <c r="K51" s="133">
        <v>43.0</v>
      </c>
      <c r="L51" s="133">
        <v>60.0</v>
      </c>
      <c r="M51" s="133">
        <v>33.0</v>
      </c>
      <c r="N51" s="133">
        <v>47.0</v>
      </c>
      <c r="O51" s="133">
        <v>7.0</v>
      </c>
      <c r="P51" s="133">
        <v>0.0</v>
      </c>
      <c r="Q51" s="133">
        <v>51.0</v>
      </c>
      <c r="R51" s="133">
        <v>54.0</v>
      </c>
      <c r="S51" s="133">
        <v>45.0</v>
      </c>
      <c r="T51" s="133">
        <v>50.0</v>
      </c>
      <c r="U51" s="134">
        <v>60.0</v>
      </c>
      <c r="V51" s="133">
        <v>50.0</v>
      </c>
      <c r="W51" s="133"/>
      <c r="X51" s="133"/>
      <c r="Y51" s="133"/>
      <c r="Z51" s="133"/>
      <c r="AA51" s="133"/>
      <c r="AB51" s="133"/>
      <c r="AC51" s="130"/>
      <c r="AD51" s="130"/>
      <c r="AE51" s="130"/>
      <c r="AF51" s="130"/>
      <c r="AG51" s="130"/>
      <c r="AH51" s="130"/>
      <c r="AI51" s="130"/>
      <c r="AJ51" s="130"/>
      <c r="AK51" s="130"/>
      <c r="AL51" s="130"/>
      <c r="AM51" s="130"/>
      <c r="AN51" s="130"/>
      <c r="AO51" s="130"/>
    </row>
    <row r="52" ht="15.0" customHeight="1">
      <c r="A52" s="198" t="s">
        <v>1394</v>
      </c>
      <c r="B52" s="132">
        <v>29.0</v>
      </c>
      <c r="C52" s="133">
        <v>43.0</v>
      </c>
      <c r="D52" s="133">
        <v>48.0</v>
      </c>
      <c r="E52" s="133">
        <v>42.0</v>
      </c>
      <c r="F52" s="133">
        <f>55-13</f>
        <v>42</v>
      </c>
      <c r="G52" s="133">
        <v>38.0</v>
      </c>
      <c r="H52" s="133">
        <v>47.0</v>
      </c>
      <c r="I52" s="133">
        <v>24.0</v>
      </c>
      <c r="J52" s="133">
        <v>50.0</v>
      </c>
      <c r="K52" s="133">
        <v>21.0</v>
      </c>
      <c r="L52" s="133">
        <v>52.0</v>
      </c>
      <c r="M52" s="133">
        <v>36.0</v>
      </c>
      <c r="N52" s="133">
        <v>47.0</v>
      </c>
      <c r="O52" s="133">
        <v>49.0</v>
      </c>
      <c r="P52" s="133">
        <v>50.0</v>
      </c>
      <c r="Q52" s="133">
        <v>50.0</v>
      </c>
      <c r="R52" s="133">
        <v>42.0</v>
      </c>
      <c r="S52" s="133">
        <v>49.0</v>
      </c>
      <c r="T52" s="133">
        <v>42.0</v>
      </c>
      <c r="U52" s="133">
        <v>58.0</v>
      </c>
      <c r="V52" s="133">
        <v>65.0</v>
      </c>
      <c r="W52" s="133"/>
      <c r="X52" s="133"/>
      <c r="Y52" s="133"/>
      <c r="Z52" s="133"/>
      <c r="AA52" s="133"/>
      <c r="AB52" s="133"/>
      <c r="AC52" s="130"/>
      <c r="AD52" s="130"/>
      <c r="AE52" s="130"/>
      <c r="AF52" s="130"/>
      <c r="AG52" s="130"/>
      <c r="AH52" s="130"/>
      <c r="AI52" s="130"/>
      <c r="AJ52" s="130"/>
      <c r="AK52" s="130"/>
      <c r="AL52" s="130"/>
      <c r="AM52" s="130"/>
      <c r="AN52" s="130"/>
      <c r="AO52" s="130"/>
    </row>
    <row r="53" ht="15.0" customHeight="1">
      <c r="A53" s="198" t="s">
        <v>1395</v>
      </c>
      <c r="B53" s="136">
        <v>8.0</v>
      </c>
      <c r="C53" s="133">
        <v>8.0</v>
      </c>
      <c r="D53" s="133">
        <v>8.0</v>
      </c>
      <c r="E53" s="133">
        <v>8.0</v>
      </c>
      <c r="F53" s="133">
        <v>8.0</v>
      </c>
      <c r="G53" s="133">
        <v>11.0</v>
      </c>
      <c r="H53" s="133">
        <v>16.0</v>
      </c>
      <c r="I53" s="133">
        <v>3.0</v>
      </c>
      <c r="J53" s="133">
        <v>9.0</v>
      </c>
      <c r="K53" s="133">
        <v>13.0</v>
      </c>
      <c r="L53" s="133">
        <v>13.0</v>
      </c>
      <c r="M53" s="133">
        <v>9.0</v>
      </c>
      <c r="N53" s="133">
        <v>5.0</v>
      </c>
      <c r="O53" s="133">
        <v>8.0</v>
      </c>
      <c r="P53" s="133">
        <v>8.0</v>
      </c>
      <c r="Q53" s="133">
        <v>8.0</v>
      </c>
      <c r="R53" s="133">
        <v>7.0</v>
      </c>
      <c r="S53" s="133">
        <v>14.0</v>
      </c>
      <c r="T53" s="133">
        <v>11.0</v>
      </c>
      <c r="U53" s="134">
        <v>8.0</v>
      </c>
      <c r="V53" s="133">
        <v>13.0</v>
      </c>
      <c r="W53" s="133"/>
      <c r="X53" s="133"/>
      <c r="Y53" s="133"/>
      <c r="Z53" s="133"/>
      <c r="AA53" s="133"/>
      <c r="AB53" s="133"/>
      <c r="AC53" s="130"/>
      <c r="AD53" s="130"/>
      <c r="AE53" s="130"/>
      <c r="AF53" s="130"/>
      <c r="AG53" s="130"/>
      <c r="AH53" s="130"/>
      <c r="AI53" s="130"/>
      <c r="AJ53" s="130"/>
      <c r="AK53" s="130"/>
      <c r="AL53" s="130"/>
      <c r="AM53" s="130"/>
      <c r="AN53" s="130"/>
      <c r="AO53" s="130"/>
    </row>
    <row r="54" ht="15.0" customHeight="1">
      <c r="A54" s="196" t="s">
        <v>1396</v>
      </c>
      <c r="B54" s="136">
        <v>37.0</v>
      </c>
      <c r="C54" s="133">
        <v>9.0</v>
      </c>
      <c r="D54" s="133">
        <v>39.0</v>
      </c>
      <c r="E54" s="133">
        <v>44.0</v>
      </c>
      <c r="F54" s="133">
        <v>42.0</v>
      </c>
      <c r="G54" s="133">
        <v>37.0</v>
      </c>
      <c r="H54" s="133">
        <v>37.0</v>
      </c>
      <c r="I54" s="133">
        <v>24.0</v>
      </c>
      <c r="J54" s="133">
        <v>34.0</v>
      </c>
      <c r="K54" s="133">
        <v>34.0</v>
      </c>
      <c r="L54" s="133">
        <v>37.0</v>
      </c>
      <c r="M54" s="133">
        <v>26.0</v>
      </c>
      <c r="N54" s="133">
        <v>29.0</v>
      </c>
      <c r="O54" s="133">
        <v>0.0</v>
      </c>
      <c r="P54" s="133">
        <v>34.0</v>
      </c>
      <c r="Q54" s="133">
        <v>31.0</v>
      </c>
      <c r="R54" s="133">
        <v>34.0</v>
      </c>
      <c r="S54" s="133">
        <v>42.0</v>
      </c>
      <c r="T54" s="133">
        <v>42.0</v>
      </c>
      <c r="U54" s="134">
        <v>42.0</v>
      </c>
      <c r="V54" s="133">
        <v>34.0</v>
      </c>
      <c r="W54" s="133"/>
      <c r="X54" s="133"/>
      <c r="Y54" s="133"/>
      <c r="Z54" s="133"/>
      <c r="AA54" s="133"/>
      <c r="AB54" s="133"/>
      <c r="AC54" s="130"/>
      <c r="AD54" s="130"/>
      <c r="AE54" s="130"/>
      <c r="AF54" s="130"/>
      <c r="AG54" s="130"/>
      <c r="AH54" s="130"/>
      <c r="AI54" s="130"/>
      <c r="AJ54" s="130"/>
      <c r="AK54" s="130"/>
      <c r="AL54" s="130"/>
      <c r="AM54" s="130"/>
      <c r="AN54" s="130"/>
      <c r="AO54" s="130"/>
    </row>
    <row r="55" ht="15.0" customHeight="1">
      <c r="A55" s="484" t="s">
        <v>1397</v>
      </c>
      <c r="B55" s="132">
        <v>38.0</v>
      </c>
      <c r="C55" s="133">
        <v>44.0</v>
      </c>
      <c r="D55" s="133">
        <v>34.0</v>
      </c>
      <c r="E55" s="133">
        <v>44.0</v>
      </c>
      <c r="F55" s="133">
        <v>37.0</v>
      </c>
      <c r="G55" s="133">
        <v>43.0</v>
      </c>
      <c r="H55" s="133">
        <v>44.0</v>
      </c>
      <c r="I55" s="133">
        <v>20.0</v>
      </c>
      <c r="J55" s="133">
        <v>50.0</v>
      </c>
      <c r="K55" s="133">
        <v>49.0</v>
      </c>
      <c r="L55" s="133">
        <v>50.0</v>
      </c>
      <c r="M55" s="133">
        <v>35.0</v>
      </c>
      <c r="N55" s="133">
        <v>28.0</v>
      </c>
      <c r="O55" s="133">
        <v>57.0</v>
      </c>
      <c r="P55" s="133">
        <v>43.0</v>
      </c>
      <c r="Q55" s="133">
        <v>51.0</v>
      </c>
      <c r="R55" s="133">
        <v>50.0</v>
      </c>
      <c r="S55" s="133">
        <v>20.0</v>
      </c>
      <c r="T55" s="133">
        <v>50.0</v>
      </c>
      <c r="U55" s="134">
        <v>53.0</v>
      </c>
      <c r="V55" s="133">
        <v>53.0</v>
      </c>
      <c r="W55" s="133"/>
      <c r="X55" s="133"/>
      <c r="Y55" s="133"/>
      <c r="Z55" s="133"/>
      <c r="AA55" s="133"/>
      <c r="AB55" s="133"/>
      <c r="AC55" s="130"/>
      <c r="AD55" s="130"/>
      <c r="AE55" s="130"/>
      <c r="AF55" s="130"/>
      <c r="AG55" s="130"/>
      <c r="AH55" s="130"/>
      <c r="AI55" s="130"/>
      <c r="AJ55" s="130"/>
      <c r="AK55" s="130"/>
      <c r="AL55" s="130"/>
      <c r="AM55" s="130"/>
      <c r="AN55" s="130"/>
      <c r="AO55" s="130"/>
    </row>
    <row r="56" ht="15.0" customHeight="1">
      <c r="A56" s="198" t="s">
        <v>1398</v>
      </c>
      <c r="B56" s="132">
        <v>7.0</v>
      </c>
      <c r="C56" s="133">
        <v>5.0</v>
      </c>
      <c r="D56" s="133">
        <v>8.0</v>
      </c>
      <c r="E56" s="133">
        <v>8.0</v>
      </c>
      <c r="F56" s="133">
        <v>8.0</v>
      </c>
      <c r="G56" s="133">
        <v>10.0</v>
      </c>
      <c r="H56" s="133">
        <v>6.0</v>
      </c>
      <c r="I56" s="133">
        <v>5.0</v>
      </c>
      <c r="J56" s="133">
        <v>8.0</v>
      </c>
      <c r="K56" s="133">
        <v>16.0</v>
      </c>
      <c r="L56" s="133">
        <v>8.0</v>
      </c>
      <c r="M56" s="133">
        <v>8.0</v>
      </c>
      <c r="N56" s="133">
        <v>8.0</v>
      </c>
      <c r="O56" s="133">
        <v>2.0</v>
      </c>
      <c r="P56" s="133">
        <v>0.0</v>
      </c>
      <c r="Q56" s="133">
        <v>8.0</v>
      </c>
      <c r="R56" s="133">
        <v>10.0</v>
      </c>
      <c r="S56" s="133">
        <v>14.0</v>
      </c>
      <c r="T56" s="133">
        <v>11.0</v>
      </c>
      <c r="U56" s="134">
        <v>11.0</v>
      </c>
      <c r="V56" s="133">
        <v>7.0</v>
      </c>
      <c r="W56" s="133"/>
      <c r="X56" s="133"/>
      <c r="Y56" s="133"/>
      <c r="Z56" s="133"/>
      <c r="AA56" s="133"/>
      <c r="AB56" s="133"/>
      <c r="AC56" s="130"/>
      <c r="AD56" s="130"/>
      <c r="AE56" s="130"/>
      <c r="AF56" s="130"/>
      <c r="AG56" s="130"/>
      <c r="AH56" s="130"/>
      <c r="AI56" s="130"/>
      <c r="AJ56" s="130"/>
      <c r="AK56" s="130"/>
      <c r="AL56" s="130"/>
      <c r="AM56" s="130"/>
      <c r="AN56" s="130"/>
      <c r="AO56" s="130"/>
    </row>
    <row r="57" ht="15.0" customHeight="1">
      <c r="A57" s="198" t="s">
        <v>1399</v>
      </c>
      <c r="B57" s="132">
        <v>29.0</v>
      </c>
      <c r="C57" s="133">
        <v>33.0</v>
      </c>
      <c r="D57" s="133">
        <v>46.0</v>
      </c>
      <c r="E57" s="133">
        <v>37.0</v>
      </c>
      <c r="F57" s="133">
        <v>37.0</v>
      </c>
      <c r="G57" s="133">
        <v>40.0</v>
      </c>
      <c r="H57" s="133">
        <v>31.0</v>
      </c>
      <c r="I57" s="133">
        <v>0.0</v>
      </c>
      <c r="J57" s="133">
        <v>22.0</v>
      </c>
      <c r="K57" s="133">
        <v>40.0</v>
      </c>
      <c r="L57" s="133">
        <v>43.0</v>
      </c>
      <c r="M57" s="133">
        <v>0.0</v>
      </c>
      <c r="N57" s="133">
        <v>0.0</v>
      </c>
      <c r="O57" s="133">
        <v>45.0</v>
      </c>
      <c r="P57" s="133">
        <v>41.0</v>
      </c>
      <c r="Q57" s="133">
        <v>44.0</v>
      </c>
      <c r="R57" s="133">
        <v>43.0</v>
      </c>
      <c r="S57" s="133">
        <v>39.0</v>
      </c>
      <c r="T57" s="133">
        <v>41.0</v>
      </c>
      <c r="U57" s="134">
        <v>44.0</v>
      </c>
      <c r="V57" s="133">
        <v>20.0</v>
      </c>
      <c r="W57" s="133"/>
      <c r="X57" s="133"/>
      <c r="Y57" s="133"/>
      <c r="Z57" s="133"/>
      <c r="AA57" s="133"/>
      <c r="AB57" s="133"/>
      <c r="AC57" s="130"/>
      <c r="AD57" s="130"/>
      <c r="AE57" s="130"/>
      <c r="AF57" s="130"/>
      <c r="AG57" s="130"/>
      <c r="AH57" s="130"/>
      <c r="AI57" s="130"/>
      <c r="AJ57" s="130"/>
      <c r="AK57" s="130"/>
      <c r="AL57" s="130"/>
      <c r="AM57" s="130"/>
      <c r="AN57" s="130"/>
      <c r="AO57" s="130"/>
    </row>
    <row r="58" ht="15.0" customHeight="1">
      <c r="A58" s="198" t="s">
        <v>1400</v>
      </c>
      <c r="B58" s="132">
        <v>5.0</v>
      </c>
      <c r="C58" s="133">
        <v>8.0</v>
      </c>
      <c r="D58" s="133">
        <v>8.0</v>
      </c>
      <c r="E58" s="133">
        <v>8.0</v>
      </c>
      <c r="F58" s="133">
        <v>8.0</v>
      </c>
      <c r="G58" s="133">
        <v>8.0</v>
      </c>
      <c r="H58" s="133">
        <v>11.0</v>
      </c>
      <c r="I58" s="133">
        <v>6.0</v>
      </c>
      <c r="J58" s="133">
        <v>8.0</v>
      </c>
      <c r="K58" s="133" t="s">
        <v>59</v>
      </c>
      <c r="L58" s="133" t="s">
        <v>59</v>
      </c>
      <c r="M58" s="133" t="s">
        <v>59</v>
      </c>
      <c r="N58" s="133" t="s">
        <v>59</v>
      </c>
      <c r="O58" s="133" t="s">
        <v>59</v>
      </c>
      <c r="P58" s="133" t="s">
        <v>59</v>
      </c>
      <c r="Q58" s="133" t="s">
        <v>59</v>
      </c>
      <c r="R58" s="133" t="s">
        <v>59</v>
      </c>
      <c r="S58" s="133" t="s">
        <v>59</v>
      </c>
      <c r="T58" s="133" t="s">
        <v>59</v>
      </c>
      <c r="U58" s="134" t="s">
        <v>59</v>
      </c>
      <c r="V58" s="133" t="s">
        <v>59</v>
      </c>
      <c r="W58" s="133"/>
      <c r="X58" s="133"/>
      <c r="Y58" s="133"/>
      <c r="Z58" s="133"/>
      <c r="AA58" s="133"/>
      <c r="AB58" s="133"/>
      <c r="AC58" s="130"/>
      <c r="AD58" s="130"/>
      <c r="AE58" s="130"/>
      <c r="AF58" s="130"/>
      <c r="AG58" s="130"/>
      <c r="AH58" s="130"/>
      <c r="AI58" s="130"/>
      <c r="AJ58" s="130"/>
      <c r="AK58" s="130"/>
      <c r="AL58" s="130"/>
      <c r="AM58" s="130"/>
      <c r="AN58" s="130"/>
      <c r="AO58" s="130"/>
    </row>
    <row r="59" ht="15.0" customHeight="1">
      <c r="A59" s="196" t="s">
        <v>1401</v>
      </c>
      <c r="B59" s="132">
        <v>29.0</v>
      </c>
      <c r="C59" s="133">
        <v>42.0</v>
      </c>
      <c r="D59" s="133">
        <v>39.0</v>
      </c>
      <c r="E59" s="133">
        <v>45.0</v>
      </c>
      <c r="F59" s="133">
        <v>35.0</v>
      </c>
      <c r="G59" s="133">
        <v>41.0</v>
      </c>
      <c r="H59" s="133">
        <v>36.0</v>
      </c>
      <c r="I59" s="133">
        <v>16.0</v>
      </c>
      <c r="J59" s="133">
        <v>44.0</v>
      </c>
      <c r="K59" s="133">
        <v>38.0</v>
      </c>
      <c r="L59" s="133">
        <v>55.0</v>
      </c>
      <c r="M59" s="133">
        <v>39.0</v>
      </c>
      <c r="N59" s="133">
        <v>31.0</v>
      </c>
      <c r="O59" s="133">
        <v>58.0</v>
      </c>
      <c r="P59" s="133">
        <v>47.0</v>
      </c>
      <c r="Q59" s="133">
        <v>55.0</v>
      </c>
      <c r="R59" s="133">
        <v>53.0</v>
      </c>
      <c r="S59" s="133">
        <v>55.0</v>
      </c>
      <c r="T59" s="133">
        <v>47.0</v>
      </c>
      <c r="U59" s="134">
        <v>42.0</v>
      </c>
      <c r="V59" s="133">
        <v>51.0</v>
      </c>
      <c r="W59" s="133"/>
      <c r="X59" s="133"/>
      <c r="Y59" s="133"/>
      <c r="Z59" s="133"/>
      <c r="AA59" s="133"/>
      <c r="AB59" s="133"/>
      <c r="AC59" s="130"/>
      <c r="AD59" s="130"/>
      <c r="AE59" s="130"/>
      <c r="AF59" s="130"/>
      <c r="AG59" s="130"/>
      <c r="AH59" s="130"/>
      <c r="AI59" s="130"/>
      <c r="AJ59" s="130"/>
      <c r="AK59" s="130"/>
      <c r="AL59" s="130"/>
      <c r="AM59" s="130"/>
      <c r="AN59" s="130"/>
      <c r="AO59" s="130"/>
    </row>
    <row r="60" ht="15.0" customHeight="1">
      <c r="A60" s="126" t="s">
        <v>46</v>
      </c>
      <c r="B60" s="127"/>
      <c r="C60" s="128"/>
      <c r="D60" s="128"/>
      <c r="E60" s="128"/>
      <c r="F60" s="128"/>
      <c r="G60" s="128"/>
      <c r="H60" s="128"/>
      <c r="I60" s="128"/>
      <c r="J60" s="128"/>
      <c r="K60" s="128"/>
      <c r="L60" s="128"/>
      <c r="M60" s="128"/>
      <c r="N60" s="128"/>
      <c r="O60" s="128"/>
      <c r="P60" s="128"/>
      <c r="Q60" s="128"/>
      <c r="R60" s="128"/>
      <c r="S60" s="128"/>
      <c r="T60" s="128"/>
      <c r="U60" s="129"/>
      <c r="V60" s="128"/>
      <c r="W60" s="128"/>
      <c r="X60" s="128"/>
      <c r="Y60" s="128"/>
      <c r="Z60" s="128"/>
      <c r="AA60" s="128"/>
      <c r="AB60" s="128"/>
      <c r="AC60" s="128"/>
      <c r="AD60" s="130"/>
      <c r="AE60" s="130"/>
      <c r="AF60" s="130"/>
      <c r="AG60" s="130"/>
      <c r="AH60" s="130"/>
      <c r="AI60" s="130"/>
      <c r="AJ60" s="130"/>
      <c r="AK60" s="130"/>
      <c r="AL60" s="130"/>
      <c r="AM60" s="130"/>
      <c r="AN60" s="130"/>
      <c r="AO60" s="130"/>
    </row>
    <row r="61" ht="15.0" customHeight="1">
      <c r="A61" s="198" t="s">
        <v>1386</v>
      </c>
      <c r="B61" s="132">
        <v>39.0</v>
      </c>
      <c r="C61" s="133">
        <v>37.0</v>
      </c>
      <c r="D61" s="133">
        <v>23.0</v>
      </c>
      <c r="E61" s="133">
        <v>23.0</v>
      </c>
      <c r="F61" s="133">
        <v>34.0</v>
      </c>
      <c r="G61" s="133">
        <v>38.0</v>
      </c>
      <c r="H61" s="133">
        <v>21.0</v>
      </c>
      <c r="I61" s="133">
        <v>11.0</v>
      </c>
      <c r="J61" s="133">
        <v>45.0</v>
      </c>
      <c r="K61" s="133">
        <v>44.0</v>
      </c>
      <c r="L61" s="199">
        <v>53.0</v>
      </c>
      <c r="M61" s="133">
        <v>32.0</v>
      </c>
      <c r="N61" s="133">
        <v>31.0</v>
      </c>
      <c r="O61" s="133">
        <v>50.0</v>
      </c>
      <c r="P61" s="133">
        <v>62.0</v>
      </c>
      <c r="Q61" s="133">
        <v>33.0</v>
      </c>
      <c r="R61" s="133">
        <v>36.0</v>
      </c>
      <c r="S61" s="133">
        <v>51.0</v>
      </c>
      <c r="T61" s="133">
        <v>27.0</v>
      </c>
      <c r="U61" s="134">
        <v>18.0</v>
      </c>
      <c r="V61" s="133">
        <v>12.0</v>
      </c>
      <c r="W61" s="133"/>
      <c r="X61" s="133"/>
      <c r="Y61" s="133"/>
      <c r="Z61" s="133"/>
      <c r="AA61" s="133"/>
      <c r="AB61" s="130"/>
      <c r="AC61" s="130"/>
      <c r="AD61" s="130"/>
      <c r="AE61" s="130"/>
      <c r="AF61" s="130"/>
      <c r="AG61" s="130"/>
      <c r="AH61" s="130"/>
      <c r="AI61" s="130"/>
      <c r="AJ61" s="130"/>
      <c r="AK61" s="130"/>
      <c r="AL61" s="130"/>
      <c r="AM61" s="130"/>
      <c r="AN61" s="130"/>
      <c r="AO61" s="130"/>
    </row>
    <row r="62" ht="15.0" customHeight="1">
      <c r="A62" s="196" t="s">
        <v>1387</v>
      </c>
      <c r="B62" s="132">
        <v>40.0</v>
      </c>
      <c r="C62" s="133">
        <v>44.0</v>
      </c>
      <c r="D62" s="133">
        <v>34.0</v>
      </c>
      <c r="E62" s="133">
        <v>54.0</v>
      </c>
      <c r="F62" s="133">
        <v>41.0</v>
      </c>
      <c r="G62" s="133">
        <v>25.0</v>
      </c>
      <c r="H62" s="133">
        <v>40.0</v>
      </c>
      <c r="I62" s="133">
        <v>28.0</v>
      </c>
      <c r="J62" s="133">
        <v>54.0</v>
      </c>
      <c r="K62" s="133">
        <v>48.0</v>
      </c>
      <c r="L62" s="199">
        <v>0.0</v>
      </c>
      <c r="M62" s="133">
        <v>38.0</v>
      </c>
      <c r="N62" s="133">
        <v>48.0</v>
      </c>
      <c r="O62" s="133">
        <v>61.0</v>
      </c>
      <c r="P62" s="133">
        <v>49.0</v>
      </c>
      <c r="Q62" s="133">
        <v>61.0</v>
      </c>
      <c r="R62" s="133">
        <v>44.0</v>
      </c>
      <c r="S62" s="133">
        <v>30.0</v>
      </c>
      <c r="T62" s="133">
        <v>49.0</v>
      </c>
      <c r="U62" s="134">
        <v>57.0</v>
      </c>
      <c r="V62" s="133">
        <v>14.0</v>
      </c>
      <c r="W62" s="130"/>
      <c r="X62" s="130"/>
      <c r="Y62" s="130"/>
      <c r="Z62" s="130"/>
      <c r="AA62" s="130"/>
      <c r="AB62" s="130"/>
      <c r="AC62" s="130"/>
      <c r="AD62" s="130"/>
      <c r="AE62" s="130"/>
      <c r="AF62" s="130"/>
      <c r="AG62" s="130"/>
      <c r="AH62" s="130"/>
      <c r="AI62" s="130"/>
      <c r="AJ62" s="130"/>
      <c r="AK62" s="130"/>
      <c r="AL62" s="130"/>
      <c r="AM62" s="130"/>
      <c r="AN62" s="130"/>
      <c r="AO62" s="130"/>
    </row>
    <row r="63">
      <c r="A63" s="198" t="s">
        <v>1388</v>
      </c>
      <c r="B63" s="137">
        <v>47.0</v>
      </c>
      <c r="C63" s="133">
        <v>35.0</v>
      </c>
      <c r="D63" s="133">
        <v>42.0</v>
      </c>
      <c r="E63" s="133">
        <v>50.0</v>
      </c>
      <c r="F63" s="133">
        <v>55.0</v>
      </c>
      <c r="G63" s="133">
        <v>44.0</v>
      </c>
      <c r="H63" s="133">
        <v>43.0</v>
      </c>
      <c r="I63" s="133">
        <v>29.0</v>
      </c>
      <c r="J63" s="133">
        <v>42.0</v>
      </c>
      <c r="K63" s="133">
        <v>36.0</v>
      </c>
      <c r="L63" s="199">
        <v>52.0</v>
      </c>
      <c r="M63" s="133">
        <v>16.0</v>
      </c>
      <c r="N63" s="133">
        <v>46.0</v>
      </c>
      <c r="O63" s="133">
        <v>45.0</v>
      </c>
      <c r="P63" s="133">
        <v>47.0</v>
      </c>
      <c r="Q63" s="133">
        <v>47.0</v>
      </c>
      <c r="R63" s="133">
        <v>44.0</v>
      </c>
      <c r="S63" s="133">
        <v>21.0</v>
      </c>
      <c r="T63" s="133">
        <v>44.0</v>
      </c>
      <c r="U63" s="134">
        <v>47.0</v>
      </c>
      <c r="V63" s="133">
        <v>47.0</v>
      </c>
      <c r="W63" s="130"/>
      <c r="X63" s="130"/>
      <c r="Y63" s="130"/>
      <c r="Z63" s="130"/>
      <c r="AA63" s="130"/>
      <c r="AB63" s="130"/>
      <c r="AC63" s="130"/>
      <c r="AD63" s="130"/>
      <c r="AE63" s="130"/>
      <c r="AF63" s="130"/>
      <c r="AG63" s="130"/>
      <c r="AH63" s="130"/>
      <c r="AI63" s="130"/>
      <c r="AJ63" s="130"/>
      <c r="AK63" s="130"/>
      <c r="AL63" s="130"/>
      <c r="AM63" s="130"/>
      <c r="AN63" s="130"/>
      <c r="AO63" s="130"/>
    </row>
    <row r="64">
      <c r="A64" s="198" t="s">
        <v>517</v>
      </c>
      <c r="B64" s="200" t="s">
        <v>59</v>
      </c>
      <c r="C64" s="200" t="s">
        <v>59</v>
      </c>
      <c r="D64" s="200" t="s">
        <v>59</v>
      </c>
      <c r="E64" s="200" t="s">
        <v>59</v>
      </c>
      <c r="F64" s="200" t="s">
        <v>59</v>
      </c>
      <c r="G64" s="133">
        <v>5.0</v>
      </c>
      <c r="H64" s="133">
        <v>16.0</v>
      </c>
      <c r="I64" s="133">
        <v>10.0</v>
      </c>
      <c r="J64" s="133">
        <v>17.0</v>
      </c>
      <c r="K64" s="133">
        <v>16.0</v>
      </c>
      <c r="L64" s="199">
        <v>30.0</v>
      </c>
      <c r="M64" s="133">
        <v>9.0</v>
      </c>
      <c r="N64" s="133">
        <v>13.0</v>
      </c>
      <c r="O64" s="133">
        <v>16.0</v>
      </c>
      <c r="P64" s="133">
        <v>4.0</v>
      </c>
      <c r="Q64" s="133">
        <v>13.0</v>
      </c>
      <c r="R64" s="133">
        <v>10.0</v>
      </c>
      <c r="S64" s="133">
        <v>16.0</v>
      </c>
      <c r="T64" s="133">
        <v>15.0</v>
      </c>
      <c r="U64" s="134">
        <v>14.0</v>
      </c>
      <c r="V64" s="133">
        <v>15.0</v>
      </c>
      <c r="W64" s="130"/>
      <c r="X64" s="130"/>
      <c r="Y64" s="130"/>
      <c r="Z64" s="130"/>
      <c r="AA64" s="130"/>
      <c r="AB64" s="130"/>
      <c r="AC64" s="130"/>
      <c r="AD64" s="130"/>
      <c r="AE64" s="130"/>
      <c r="AF64" s="130"/>
      <c r="AG64" s="130"/>
      <c r="AH64" s="130"/>
      <c r="AI64" s="130"/>
      <c r="AJ64" s="130"/>
      <c r="AK64" s="130"/>
      <c r="AL64" s="130"/>
      <c r="AM64" s="130"/>
      <c r="AN64" s="130"/>
      <c r="AO64" s="130"/>
    </row>
    <row r="65">
      <c r="A65" s="196" t="s">
        <v>1389</v>
      </c>
      <c r="B65" s="137">
        <v>39.0</v>
      </c>
      <c r="C65" s="133">
        <v>37.0</v>
      </c>
      <c r="D65" s="133">
        <v>35.0</v>
      </c>
      <c r="E65" s="200" t="s">
        <v>59</v>
      </c>
      <c r="F65" s="200" t="s">
        <v>59</v>
      </c>
      <c r="G65" s="200" t="s">
        <v>59</v>
      </c>
      <c r="H65" s="133" t="s">
        <v>59</v>
      </c>
      <c r="I65" s="133" t="s">
        <v>59</v>
      </c>
      <c r="J65" s="133" t="s">
        <v>59</v>
      </c>
      <c r="K65" s="133" t="s">
        <v>59</v>
      </c>
      <c r="L65" s="199" t="s">
        <v>59</v>
      </c>
      <c r="M65" s="133" t="s">
        <v>59</v>
      </c>
      <c r="N65" s="199" t="s">
        <v>59</v>
      </c>
      <c r="O65" s="133" t="s">
        <v>59</v>
      </c>
      <c r="P65" s="133" t="s">
        <v>59</v>
      </c>
      <c r="Q65" s="133" t="s">
        <v>59</v>
      </c>
      <c r="R65" s="133" t="s">
        <v>59</v>
      </c>
      <c r="S65" s="133" t="s">
        <v>59</v>
      </c>
      <c r="T65" s="133" t="s">
        <v>59</v>
      </c>
      <c r="U65" s="134" t="s">
        <v>59</v>
      </c>
      <c r="V65" s="133" t="s">
        <v>59</v>
      </c>
      <c r="W65" s="133"/>
      <c r="X65" s="133"/>
      <c r="Y65" s="133"/>
      <c r="Z65" s="133"/>
      <c r="AA65" s="133"/>
      <c r="AB65" s="130"/>
      <c r="AC65" s="130"/>
      <c r="AD65" s="130"/>
      <c r="AE65" s="130"/>
      <c r="AF65" s="130"/>
      <c r="AG65" s="130"/>
      <c r="AH65" s="130"/>
      <c r="AI65" s="130"/>
      <c r="AJ65" s="130"/>
      <c r="AK65" s="130"/>
      <c r="AL65" s="130"/>
      <c r="AM65" s="130"/>
      <c r="AN65" s="130"/>
      <c r="AO65" s="130"/>
    </row>
    <row r="66" ht="15.0" customHeight="1">
      <c r="A66" s="198" t="s">
        <v>1390</v>
      </c>
      <c r="B66" s="137">
        <v>0.0</v>
      </c>
      <c r="C66" s="133">
        <v>35.0</v>
      </c>
      <c r="D66" s="133">
        <v>24.0</v>
      </c>
      <c r="E66" s="133">
        <v>14.0</v>
      </c>
      <c r="F66" s="133">
        <v>0.0</v>
      </c>
      <c r="G66" s="133">
        <v>25.0</v>
      </c>
      <c r="H66" s="133">
        <v>16.0</v>
      </c>
      <c r="I66" s="133">
        <v>13.0</v>
      </c>
      <c r="J66" s="133">
        <v>5.0</v>
      </c>
      <c r="K66" s="133">
        <v>21.0</v>
      </c>
      <c r="L66" s="199">
        <v>25.0</v>
      </c>
      <c r="M66" s="133">
        <v>20.0</v>
      </c>
      <c r="N66" s="133">
        <v>18.0</v>
      </c>
      <c r="O66" s="133">
        <v>29.0</v>
      </c>
      <c r="P66" s="133">
        <v>27.0</v>
      </c>
      <c r="Q66" s="133" t="s">
        <v>59</v>
      </c>
      <c r="R66" s="133" t="s">
        <v>59</v>
      </c>
      <c r="S66" s="133" t="s">
        <v>59</v>
      </c>
      <c r="T66" s="133" t="s">
        <v>59</v>
      </c>
      <c r="U66" s="134" t="s">
        <v>59</v>
      </c>
      <c r="V66" s="133" t="s">
        <v>59</v>
      </c>
      <c r="W66" s="133"/>
      <c r="X66" s="133"/>
      <c r="Y66" s="133"/>
      <c r="Z66" s="133"/>
      <c r="AA66" s="133"/>
      <c r="AB66" s="130"/>
      <c r="AC66" s="130"/>
      <c r="AD66" s="130"/>
      <c r="AE66" s="130"/>
      <c r="AF66" s="130"/>
      <c r="AG66" s="130"/>
      <c r="AH66" s="130"/>
      <c r="AI66" s="130"/>
      <c r="AJ66" s="130"/>
      <c r="AK66" s="130"/>
      <c r="AL66" s="130"/>
      <c r="AM66" s="130"/>
      <c r="AN66" s="130"/>
      <c r="AO66" s="130"/>
    </row>
    <row r="67" ht="15.0" customHeight="1">
      <c r="A67" s="198" t="s">
        <v>1391</v>
      </c>
      <c r="B67" s="137"/>
      <c r="C67" s="133"/>
      <c r="D67" s="133"/>
      <c r="E67" s="133"/>
      <c r="F67" s="133"/>
      <c r="G67" s="133"/>
      <c r="H67" s="133"/>
      <c r="I67" s="133"/>
      <c r="J67" s="133"/>
      <c r="K67" s="133"/>
      <c r="L67" s="199"/>
      <c r="M67" s="133"/>
      <c r="N67" s="133"/>
      <c r="O67" s="133"/>
      <c r="P67" s="133"/>
      <c r="Q67" s="133"/>
      <c r="R67" s="133">
        <v>3.0</v>
      </c>
      <c r="S67" s="133">
        <v>8.0</v>
      </c>
      <c r="T67" s="133">
        <v>5.0</v>
      </c>
      <c r="U67" s="134">
        <v>5.0</v>
      </c>
      <c r="V67" s="133">
        <v>5.0</v>
      </c>
      <c r="W67" s="133"/>
      <c r="X67" s="133"/>
      <c r="Y67" s="133"/>
      <c r="Z67" s="133"/>
      <c r="AA67" s="133"/>
      <c r="AB67" s="130"/>
      <c r="AC67" s="130"/>
      <c r="AD67" s="130"/>
      <c r="AE67" s="130"/>
      <c r="AF67" s="130"/>
      <c r="AG67" s="130"/>
      <c r="AH67" s="130"/>
      <c r="AI67" s="130"/>
      <c r="AJ67" s="130"/>
      <c r="AK67" s="130"/>
      <c r="AL67" s="130"/>
      <c r="AM67" s="130"/>
      <c r="AN67" s="130"/>
      <c r="AO67" s="130"/>
    </row>
    <row r="68" ht="15.0" customHeight="1">
      <c r="A68" s="198" t="s">
        <v>1392</v>
      </c>
      <c r="B68" s="137"/>
      <c r="C68" s="133"/>
      <c r="D68" s="133"/>
      <c r="E68" s="133"/>
      <c r="F68" s="133"/>
      <c r="G68" s="133"/>
      <c r="H68" s="133"/>
      <c r="I68" s="133"/>
      <c r="J68" s="133"/>
      <c r="K68" s="133"/>
      <c r="L68" s="199"/>
      <c r="M68" s="133"/>
      <c r="N68" s="133"/>
      <c r="O68" s="133">
        <v>5.0</v>
      </c>
      <c r="P68" s="133">
        <v>5.0</v>
      </c>
      <c r="Q68" s="133">
        <v>5.0</v>
      </c>
      <c r="R68" s="133">
        <v>5.0</v>
      </c>
      <c r="S68" s="133">
        <v>5.0</v>
      </c>
      <c r="T68" s="133">
        <v>4.0</v>
      </c>
      <c r="U68" s="134">
        <v>3.0</v>
      </c>
      <c r="V68" s="133">
        <v>5.0</v>
      </c>
      <c r="W68" s="133"/>
      <c r="X68" s="133"/>
      <c r="Y68" s="133"/>
      <c r="Z68" s="133"/>
      <c r="AA68" s="133"/>
      <c r="AB68" s="130"/>
      <c r="AC68" s="130"/>
      <c r="AD68" s="130"/>
      <c r="AE68" s="130"/>
      <c r="AF68" s="130"/>
      <c r="AG68" s="130"/>
      <c r="AH68" s="130"/>
      <c r="AI68" s="130"/>
      <c r="AJ68" s="130"/>
      <c r="AK68" s="130"/>
      <c r="AL68" s="130"/>
      <c r="AM68" s="130"/>
      <c r="AN68" s="130"/>
      <c r="AO68" s="130"/>
    </row>
    <row r="69">
      <c r="A69" s="196" t="s">
        <v>1393</v>
      </c>
      <c r="B69" s="137">
        <v>30.0</v>
      </c>
      <c r="C69" s="133">
        <v>39.0</v>
      </c>
      <c r="D69" s="133">
        <v>66.0</v>
      </c>
      <c r="E69" s="133">
        <v>16.0</v>
      </c>
      <c r="F69" s="133">
        <v>24.0</v>
      </c>
      <c r="G69" s="133">
        <v>22.0</v>
      </c>
      <c r="H69" s="133">
        <v>39.0</v>
      </c>
      <c r="I69" s="133">
        <v>15.0</v>
      </c>
      <c r="J69" s="133">
        <v>47.0</v>
      </c>
      <c r="K69" s="133">
        <v>44.0</v>
      </c>
      <c r="L69" s="199">
        <v>65.0</v>
      </c>
      <c r="M69" s="133">
        <v>36.0</v>
      </c>
      <c r="N69" s="133">
        <v>57.0</v>
      </c>
      <c r="O69" s="133">
        <v>7.0</v>
      </c>
      <c r="P69" s="133">
        <v>25.0</v>
      </c>
      <c r="Q69" s="133">
        <v>51.0</v>
      </c>
      <c r="R69" s="133">
        <v>54.0</v>
      </c>
      <c r="S69" s="133">
        <v>51.0</v>
      </c>
      <c r="T69" s="133">
        <v>51.0</v>
      </c>
      <c r="U69" s="134">
        <v>68.0</v>
      </c>
      <c r="V69" s="133">
        <v>42.0</v>
      </c>
      <c r="W69" s="133"/>
      <c r="X69" s="133"/>
      <c r="Y69" s="133"/>
      <c r="Z69" s="133"/>
      <c r="AA69" s="133"/>
      <c r="AB69" s="130"/>
      <c r="AC69" s="130"/>
      <c r="AD69" s="130"/>
      <c r="AE69" s="130"/>
      <c r="AF69" s="130"/>
      <c r="AG69" s="130"/>
      <c r="AH69" s="130"/>
      <c r="AI69" s="130"/>
      <c r="AJ69" s="130"/>
      <c r="AK69" s="130"/>
      <c r="AL69" s="130"/>
      <c r="AM69" s="130"/>
      <c r="AN69" s="130"/>
      <c r="AO69" s="130"/>
    </row>
    <row r="70">
      <c r="A70" s="198" t="s">
        <v>1394</v>
      </c>
      <c r="B70" s="137">
        <v>29.0</v>
      </c>
      <c r="C70" s="133">
        <v>43.0</v>
      </c>
      <c r="D70" s="133">
        <v>25.0</v>
      </c>
      <c r="E70" s="133">
        <v>1.0</v>
      </c>
      <c r="F70" s="133">
        <v>55.0</v>
      </c>
      <c r="G70" s="133">
        <v>30.0</v>
      </c>
      <c r="H70" s="133">
        <v>13.0</v>
      </c>
      <c r="I70" s="133">
        <v>3.0</v>
      </c>
      <c r="J70" s="133">
        <v>55.0</v>
      </c>
      <c r="K70" s="133">
        <v>9.0</v>
      </c>
      <c r="L70" s="199">
        <v>55.0</v>
      </c>
      <c r="M70" s="133">
        <v>28.0</v>
      </c>
      <c r="N70" s="133">
        <v>52.0</v>
      </c>
      <c r="O70" s="133">
        <v>10.0</v>
      </c>
      <c r="P70" s="133">
        <v>42.0</v>
      </c>
      <c r="Q70" s="133">
        <v>42.0</v>
      </c>
      <c r="R70" s="133">
        <v>39.0</v>
      </c>
      <c r="S70" s="133">
        <v>52.0</v>
      </c>
      <c r="T70" s="133">
        <v>48.0</v>
      </c>
      <c r="U70" s="134">
        <v>34.0</v>
      </c>
      <c r="V70" s="133">
        <v>23.0</v>
      </c>
      <c r="W70" s="133"/>
      <c r="X70" s="133"/>
      <c r="Y70" s="133"/>
      <c r="Z70" s="133"/>
      <c r="AA70" s="133"/>
      <c r="AB70" s="130"/>
      <c r="AC70" s="130"/>
      <c r="AD70" s="130"/>
      <c r="AE70" s="130"/>
      <c r="AF70" s="130"/>
      <c r="AG70" s="130"/>
      <c r="AH70" s="130"/>
      <c r="AI70" s="130"/>
      <c r="AJ70" s="130"/>
      <c r="AK70" s="130"/>
      <c r="AL70" s="130"/>
      <c r="AM70" s="130"/>
      <c r="AN70" s="130"/>
      <c r="AO70" s="130"/>
    </row>
    <row r="71">
      <c r="A71" s="198" t="s">
        <v>1395</v>
      </c>
      <c r="B71" s="137">
        <v>8.0</v>
      </c>
      <c r="C71" s="133">
        <v>8.0</v>
      </c>
      <c r="D71" s="133">
        <v>8.0</v>
      </c>
      <c r="E71" s="133">
        <v>10.0</v>
      </c>
      <c r="F71" s="133">
        <v>8.0</v>
      </c>
      <c r="G71" s="133">
        <v>3.0</v>
      </c>
      <c r="H71" s="133">
        <v>16.0</v>
      </c>
      <c r="I71" s="133">
        <v>0.0</v>
      </c>
      <c r="J71" s="133">
        <v>14.0</v>
      </c>
      <c r="K71" s="133">
        <v>20.0</v>
      </c>
      <c r="L71" s="199">
        <v>13.0</v>
      </c>
      <c r="M71" s="133">
        <v>9.0</v>
      </c>
      <c r="N71" s="133">
        <v>5.0</v>
      </c>
      <c r="O71" s="133">
        <v>8.0</v>
      </c>
      <c r="P71" s="133">
        <v>8.0</v>
      </c>
      <c r="Q71" s="133">
        <v>8.0</v>
      </c>
      <c r="R71" s="133">
        <v>7.0</v>
      </c>
      <c r="S71" s="133">
        <v>14.0</v>
      </c>
      <c r="T71" s="133">
        <v>11.0</v>
      </c>
      <c r="U71" s="133">
        <v>9.0</v>
      </c>
      <c r="V71" s="133">
        <v>0.0</v>
      </c>
      <c r="W71" s="133"/>
      <c r="X71" s="133"/>
      <c r="Y71" s="133"/>
      <c r="Z71" s="133"/>
      <c r="AA71" s="133"/>
      <c r="AB71" s="130"/>
      <c r="AC71" s="130"/>
      <c r="AD71" s="130"/>
      <c r="AE71" s="130"/>
      <c r="AF71" s="130"/>
      <c r="AG71" s="130"/>
      <c r="AH71" s="130"/>
      <c r="AI71" s="130"/>
      <c r="AJ71" s="130"/>
      <c r="AK71" s="130"/>
      <c r="AL71" s="130"/>
      <c r="AM71" s="130"/>
      <c r="AN71" s="130"/>
      <c r="AO71" s="130"/>
    </row>
    <row r="72">
      <c r="A72" s="196" t="s">
        <v>1396</v>
      </c>
      <c r="B72" s="137">
        <v>37.0</v>
      </c>
      <c r="C72" s="133">
        <v>9.0</v>
      </c>
      <c r="D72" s="133">
        <v>39.0</v>
      </c>
      <c r="E72" s="133">
        <v>44.0</v>
      </c>
      <c r="F72" s="133">
        <v>42.0</v>
      </c>
      <c r="G72" s="133">
        <v>37.0</v>
      </c>
      <c r="H72" s="133">
        <v>40.0</v>
      </c>
      <c r="I72" s="133">
        <v>24.0</v>
      </c>
      <c r="J72" s="133">
        <v>34.0</v>
      </c>
      <c r="K72" s="133">
        <v>34.0</v>
      </c>
      <c r="L72" s="199">
        <v>38.0</v>
      </c>
      <c r="M72" s="133">
        <v>31.0</v>
      </c>
      <c r="N72" s="133">
        <v>21.0</v>
      </c>
      <c r="O72" s="133">
        <v>0.0</v>
      </c>
      <c r="P72" s="133">
        <v>34.0</v>
      </c>
      <c r="Q72" s="133">
        <v>31.0</v>
      </c>
      <c r="R72" s="133">
        <v>34.0</v>
      </c>
      <c r="S72" s="133">
        <v>42.0</v>
      </c>
      <c r="T72" s="133">
        <v>42.0</v>
      </c>
      <c r="U72" s="134">
        <v>42.0</v>
      </c>
      <c r="V72" s="133">
        <v>34.0</v>
      </c>
      <c r="W72" s="133"/>
      <c r="X72" s="133"/>
      <c r="Y72" s="133"/>
      <c r="Z72" s="133"/>
      <c r="AA72" s="133"/>
      <c r="AB72" s="130"/>
      <c r="AC72" s="130"/>
      <c r="AD72" s="130"/>
      <c r="AE72" s="130"/>
      <c r="AF72" s="130"/>
      <c r="AG72" s="130"/>
      <c r="AH72" s="130"/>
      <c r="AI72" s="130"/>
      <c r="AJ72" s="130"/>
      <c r="AK72" s="130"/>
      <c r="AL72" s="130"/>
      <c r="AM72" s="130"/>
      <c r="AN72" s="130"/>
      <c r="AO72" s="130"/>
    </row>
    <row r="73">
      <c r="A73" s="484" t="s">
        <v>1397</v>
      </c>
      <c r="B73" s="137">
        <v>40.0</v>
      </c>
      <c r="C73" s="133">
        <v>25.0</v>
      </c>
      <c r="D73" s="133">
        <v>41.0</v>
      </c>
      <c r="E73" s="133">
        <v>50.0</v>
      </c>
      <c r="F73" s="133">
        <v>50.0</v>
      </c>
      <c r="G73" s="133">
        <v>31.0</v>
      </c>
      <c r="H73" s="133">
        <v>45.0</v>
      </c>
      <c r="I73" s="133">
        <v>29.0</v>
      </c>
      <c r="J73" s="133">
        <v>53.0</v>
      </c>
      <c r="K73" s="133">
        <v>56.0</v>
      </c>
      <c r="L73" s="199">
        <v>52.0</v>
      </c>
      <c r="M73" s="133">
        <v>35.0</v>
      </c>
      <c r="N73" s="133">
        <v>21.0</v>
      </c>
      <c r="O73" s="133">
        <v>57.0</v>
      </c>
      <c r="P73" s="133">
        <v>44.0</v>
      </c>
      <c r="Q73" s="133">
        <f>51-8-5</f>
        <v>38</v>
      </c>
      <c r="R73" s="133">
        <v>50.0</v>
      </c>
      <c r="S73" s="133">
        <v>19.0</v>
      </c>
      <c r="T73" s="133">
        <v>50.0</v>
      </c>
      <c r="U73" s="134">
        <v>49.0</v>
      </c>
      <c r="V73" s="133">
        <v>48.0</v>
      </c>
      <c r="W73" s="133"/>
      <c r="X73" s="133"/>
      <c r="Y73" s="133"/>
      <c r="Z73" s="133"/>
      <c r="AA73" s="133"/>
      <c r="AB73" s="130"/>
      <c r="AC73" s="130"/>
      <c r="AD73" s="130"/>
      <c r="AE73" s="130"/>
      <c r="AF73" s="130"/>
      <c r="AG73" s="130"/>
      <c r="AH73" s="130"/>
      <c r="AI73" s="130"/>
      <c r="AJ73" s="130"/>
      <c r="AK73" s="130"/>
      <c r="AL73" s="130"/>
      <c r="AM73" s="130"/>
      <c r="AN73" s="130"/>
      <c r="AO73" s="130"/>
    </row>
    <row r="74">
      <c r="A74" s="198" t="s">
        <v>1398</v>
      </c>
      <c r="B74" s="137">
        <v>3.0</v>
      </c>
      <c r="C74" s="133">
        <v>5.0</v>
      </c>
      <c r="D74" s="133">
        <v>8.0</v>
      </c>
      <c r="E74" s="133">
        <v>8.0</v>
      </c>
      <c r="F74" s="133">
        <v>8.0</v>
      </c>
      <c r="G74" s="133">
        <v>10.0</v>
      </c>
      <c r="H74" s="133">
        <v>11.0</v>
      </c>
      <c r="I74" s="133">
        <v>5.0</v>
      </c>
      <c r="J74" s="133">
        <v>8.0</v>
      </c>
      <c r="K74" s="133">
        <v>8.0</v>
      </c>
      <c r="L74" s="199">
        <v>8.0</v>
      </c>
      <c r="M74" s="133">
        <v>11.0</v>
      </c>
      <c r="N74" s="133">
        <v>8.0</v>
      </c>
      <c r="O74" s="133">
        <v>2.0</v>
      </c>
      <c r="P74" s="133">
        <v>0.0</v>
      </c>
      <c r="Q74" s="133">
        <v>8.0</v>
      </c>
      <c r="R74" s="133">
        <v>5.0</v>
      </c>
      <c r="S74" s="133">
        <v>14.0</v>
      </c>
      <c r="T74" s="133">
        <v>13.0</v>
      </c>
      <c r="U74" s="134">
        <v>11.0</v>
      </c>
      <c r="V74" s="133">
        <v>7.0</v>
      </c>
      <c r="W74" s="133"/>
      <c r="X74" s="133"/>
      <c r="Y74" s="133"/>
      <c r="Z74" s="133"/>
      <c r="AA74" s="133"/>
      <c r="AB74" s="130"/>
      <c r="AC74" s="130"/>
      <c r="AD74" s="130"/>
      <c r="AE74" s="130"/>
      <c r="AF74" s="130"/>
      <c r="AG74" s="130"/>
      <c r="AH74" s="130"/>
      <c r="AI74" s="130"/>
      <c r="AJ74" s="130"/>
      <c r="AK74" s="130"/>
      <c r="AL74" s="130"/>
      <c r="AM74" s="130"/>
      <c r="AN74" s="130"/>
      <c r="AO74" s="130"/>
    </row>
    <row r="75">
      <c r="A75" s="198" t="s">
        <v>1399</v>
      </c>
      <c r="B75" s="137">
        <v>37.0</v>
      </c>
      <c r="C75" s="133">
        <v>33.0</v>
      </c>
      <c r="D75" s="133">
        <v>46.0</v>
      </c>
      <c r="E75" s="133">
        <v>37.0</v>
      </c>
      <c r="F75" s="133">
        <v>37.0</v>
      </c>
      <c r="G75" s="133">
        <v>6.0</v>
      </c>
      <c r="H75" s="133">
        <v>21.0</v>
      </c>
      <c r="I75" s="133">
        <v>0.0</v>
      </c>
      <c r="J75" s="133">
        <v>25.0</v>
      </c>
      <c r="K75" s="133">
        <v>36.0</v>
      </c>
      <c r="L75" s="199">
        <v>8.0</v>
      </c>
      <c r="M75" s="133">
        <v>0.0</v>
      </c>
      <c r="N75" s="133">
        <v>0.0</v>
      </c>
      <c r="O75" s="133">
        <v>40.0</v>
      </c>
      <c r="P75" s="133">
        <v>36.0</v>
      </c>
      <c r="Q75" s="133">
        <v>51.0</v>
      </c>
      <c r="R75" s="133">
        <v>36.0</v>
      </c>
      <c r="S75" s="133">
        <v>30.0</v>
      </c>
      <c r="T75" s="133">
        <v>44.0</v>
      </c>
      <c r="U75" s="134">
        <v>33.0</v>
      </c>
      <c r="V75" s="133">
        <v>20.0</v>
      </c>
      <c r="W75" s="133"/>
      <c r="X75" s="133"/>
      <c r="Y75" s="133"/>
      <c r="Z75" s="133"/>
      <c r="AA75" s="133"/>
      <c r="AB75" s="130"/>
      <c r="AC75" s="130"/>
      <c r="AD75" s="130"/>
      <c r="AE75" s="130"/>
      <c r="AF75" s="130"/>
      <c r="AG75" s="130"/>
      <c r="AH75" s="130"/>
      <c r="AI75" s="130"/>
      <c r="AJ75" s="130"/>
      <c r="AK75" s="130"/>
      <c r="AL75" s="130"/>
      <c r="AM75" s="130"/>
      <c r="AN75" s="130"/>
      <c r="AO75" s="130"/>
    </row>
    <row r="76">
      <c r="A76" s="198" t="s">
        <v>1400</v>
      </c>
      <c r="B76" s="137">
        <v>5.0</v>
      </c>
      <c r="C76" s="133">
        <v>13.0</v>
      </c>
      <c r="D76" s="133">
        <v>8.0</v>
      </c>
      <c r="E76" s="133">
        <v>0.0</v>
      </c>
      <c r="F76" s="133">
        <v>8.0</v>
      </c>
      <c r="G76" s="133">
        <v>8.0</v>
      </c>
      <c r="H76" s="133">
        <v>11.0</v>
      </c>
      <c r="I76" s="133">
        <v>6.0</v>
      </c>
      <c r="J76" s="133">
        <v>8.0</v>
      </c>
      <c r="K76" s="133" t="s">
        <v>59</v>
      </c>
      <c r="L76" s="199" t="s">
        <v>59</v>
      </c>
      <c r="M76" s="133" t="s">
        <v>59</v>
      </c>
      <c r="N76" s="133" t="s">
        <v>59</v>
      </c>
      <c r="O76" s="133" t="s">
        <v>59</v>
      </c>
      <c r="P76" s="133" t="s">
        <v>59</v>
      </c>
      <c r="Q76" s="133" t="s">
        <v>59</v>
      </c>
      <c r="R76" s="133" t="s">
        <v>59</v>
      </c>
      <c r="S76" s="133" t="s">
        <v>59</v>
      </c>
      <c r="T76" s="133" t="s">
        <v>59</v>
      </c>
      <c r="U76" s="134" t="s">
        <v>59</v>
      </c>
      <c r="V76" s="133" t="s">
        <v>59</v>
      </c>
      <c r="W76" s="133"/>
      <c r="X76" s="133"/>
      <c r="Y76" s="133"/>
      <c r="Z76" s="133"/>
      <c r="AA76" s="133"/>
      <c r="AB76" s="130"/>
      <c r="AC76" s="130"/>
      <c r="AD76" s="130"/>
      <c r="AE76" s="130"/>
      <c r="AF76" s="130"/>
      <c r="AG76" s="130"/>
      <c r="AH76" s="130"/>
      <c r="AI76" s="130"/>
      <c r="AJ76" s="130"/>
      <c r="AK76" s="130"/>
      <c r="AL76" s="130"/>
      <c r="AM76" s="130"/>
      <c r="AN76" s="130"/>
      <c r="AO76" s="130"/>
    </row>
    <row r="77">
      <c r="A77" s="196" t="s">
        <v>1401</v>
      </c>
      <c r="B77" s="413">
        <v>31.0</v>
      </c>
      <c r="C77" s="199">
        <v>43.0</v>
      </c>
      <c r="D77" s="199">
        <v>58.0</v>
      </c>
      <c r="E77" s="199">
        <v>53.0</v>
      </c>
      <c r="F77" s="199">
        <v>57.0</v>
      </c>
      <c r="G77" s="199">
        <v>43.0</v>
      </c>
      <c r="H77" s="199">
        <v>29.0</v>
      </c>
      <c r="I77" s="199">
        <v>15.0</v>
      </c>
      <c r="J77" s="199">
        <v>45.0</v>
      </c>
      <c r="K77" s="199">
        <v>38.0</v>
      </c>
      <c r="L77" s="199">
        <v>52.0</v>
      </c>
      <c r="M77" s="199">
        <v>44.0</v>
      </c>
      <c r="N77" s="199">
        <v>55.0</v>
      </c>
      <c r="O77" s="199">
        <v>62.0</v>
      </c>
      <c r="P77" s="199">
        <v>34.0</v>
      </c>
      <c r="Q77" s="453">
        <f>63-5</f>
        <v>58</v>
      </c>
      <c r="R77" s="199">
        <v>50.0</v>
      </c>
      <c r="S77" s="199">
        <v>62.0</v>
      </c>
      <c r="T77" s="199">
        <v>50.0</v>
      </c>
      <c r="U77" s="414">
        <v>48.0</v>
      </c>
      <c r="V77" s="199">
        <v>57.0</v>
      </c>
    </row>
    <row r="78">
      <c r="A78" s="126" t="s">
        <v>225</v>
      </c>
      <c r="B78" s="410"/>
      <c r="C78" s="403"/>
      <c r="D78" s="403"/>
      <c r="E78" s="403"/>
      <c r="F78" s="403"/>
      <c r="G78" s="403"/>
      <c r="H78" s="403"/>
      <c r="I78" s="403"/>
      <c r="J78" s="403"/>
      <c r="K78" s="403"/>
      <c r="L78" s="403"/>
      <c r="M78" s="403"/>
      <c r="N78" s="403"/>
      <c r="O78" s="403"/>
      <c r="P78" s="403"/>
      <c r="Q78" s="403"/>
      <c r="R78" s="403"/>
      <c r="S78" s="403"/>
      <c r="T78" s="403"/>
      <c r="U78" s="403"/>
      <c r="V78" s="411"/>
      <c r="W78" s="403"/>
      <c r="X78" s="403"/>
      <c r="Y78" s="403"/>
      <c r="Z78" s="403"/>
      <c r="AA78" s="403"/>
      <c r="AB78" s="403"/>
      <c r="AC78" s="403"/>
      <c r="AD78" s="403"/>
      <c r="AE78" s="403"/>
      <c r="AF78" s="403"/>
      <c r="AG78" s="403"/>
      <c r="AH78" s="403"/>
      <c r="AI78" s="403"/>
      <c r="AJ78" s="403"/>
      <c r="AK78" s="403"/>
      <c r="AL78" s="403"/>
      <c r="AM78" s="403"/>
      <c r="AN78" s="403"/>
    </row>
    <row r="79">
      <c r="A79" s="787"/>
      <c r="B79" s="138"/>
      <c r="U79" s="31"/>
    </row>
    <row r="80">
      <c r="A80" s="788"/>
      <c r="B80" s="138"/>
      <c r="G80" s="408"/>
      <c r="U80" s="31"/>
    </row>
    <row r="81">
      <c r="A81" s="626"/>
      <c r="B81" s="138"/>
      <c r="U81" s="31"/>
    </row>
    <row r="82">
      <c r="A82" s="626"/>
      <c r="B82" s="138"/>
      <c r="U82" s="31"/>
    </row>
    <row r="83">
      <c r="A83" s="147"/>
      <c r="B83" s="138"/>
      <c r="U83" s="31"/>
    </row>
    <row r="84">
      <c r="A84" s="787"/>
      <c r="B84" s="138"/>
      <c r="U84" s="31"/>
    </row>
    <row r="85">
      <c r="A85" s="626"/>
      <c r="B85" s="138"/>
      <c r="U85" s="31"/>
    </row>
    <row r="86">
      <c r="A86" s="626"/>
      <c r="B86" s="138"/>
      <c r="U86" s="31"/>
    </row>
    <row r="87">
      <c r="A87" s="626"/>
      <c r="B87" s="138"/>
      <c r="U87" s="31"/>
    </row>
    <row r="88">
      <c r="B88" s="138"/>
      <c r="U88" s="31"/>
    </row>
    <row r="89">
      <c r="B89" s="138"/>
      <c r="U89" s="31"/>
    </row>
    <row r="90">
      <c r="B90" s="138"/>
      <c r="U90" s="31"/>
    </row>
    <row r="91">
      <c r="B91" s="138"/>
      <c r="U91" s="31"/>
    </row>
    <row r="92">
      <c r="B92" s="138"/>
      <c r="U92" s="31"/>
    </row>
    <row r="93">
      <c r="B93" s="138"/>
      <c r="U93" s="31"/>
    </row>
    <row r="94">
      <c r="B94" s="138"/>
      <c r="U94" s="31"/>
    </row>
    <row r="95">
      <c r="B95" s="138"/>
      <c r="U95" s="31"/>
    </row>
    <row r="96">
      <c r="B96" s="138"/>
      <c r="U96" s="31"/>
    </row>
    <row r="97">
      <c r="B97" s="138"/>
      <c r="U97" s="31"/>
    </row>
    <row r="98">
      <c r="B98" s="138"/>
      <c r="U98" s="31"/>
    </row>
    <row r="99">
      <c r="B99" s="138"/>
      <c r="U99" s="31"/>
    </row>
    <row r="100">
      <c r="B100" s="138"/>
      <c r="U100" s="31"/>
    </row>
    <row r="101">
      <c r="B101" s="138"/>
      <c r="U101" s="31"/>
    </row>
    <row r="102">
      <c r="B102" s="138"/>
      <c r="U102" s="31"/>
    </row>
    <row r="103">
      <c r="B103" s="138"/>
      <c r="U103" s="31"/>
    </row>
    <row r="104">
      <c r="B104" s="138"/>
      <c r="U104" s="31"/>
    </row>
    <row r="105">
      <c r="B105" s="138"/>
      <c r="U105" s="31"/>
    </row>
    <row r="106">
      <c r="B106" s="138"/>
      <c r="U106" s="31"/>
    </row>
    <row r="107">
      <c r="B107" s="138"/>
      <c r="U107" s="31"/>
    </row>
    <row r="108">
      <c r="B108" s="138"/>
      <c r="U108" s="31"/>
    </row>
    <row r="109">
      <c r="B109" s="138"/>
      <c r="U109" s="31"/>
    </row>
    <row r="110">
      <c r="B110" s="138"/>
      <c r="U110" s="31"/>
    </row>
    <row r="111">
      <c r="B111" s="138"/>
      <c r="U111" s="31"/>
    </row>
    <row r="112">
      <c r="B112" s="138"/>
      <c r="U112" s="31"/>
    </row>
    <row r="113">
      <c r="B113" s="138"/>
      <c r="U113" s="31"/>
    </row>
    <row r="114">
      <c r="B114" s="138"/>
      <c r="U114" s="31"/>
    </row>
    <row r="115">
      <c r="B115" s="138"/>
      <c r="U115" s="31"/>
    </row>
    <row r="116">
      <c r="B116" s="138"/>
      <c r="U116" s="31"/>
    </row>
    <row r="117">
      <c r="B117" s="138"/>
      <c r="U117" s="31"/>
    </row>
    <row r="118">
      <c r="B118" s="138"/>
      <c r="U118" s="31"/>
    </row>
    <row r="119">
      <c r="B119" s="138"/>
      <c r="U119" s="31"/>
    </row>
    <row r="120">
      <c r="B120" s="138"/>
      <c r="U120" s="31"/>
    </row>
    <row r="121">
      <c r="B121" s="138"/>
      <c r="U121" s="31"/>
    </row>
    <row r="122">
      <c r="B122" s="138"/>
      <c r="U122" s="31"/>
    </row>
    <row r="123">
      <c r="B123" s="138"/>
      <c r="U123" s="31"/>
    </row>
    <row r="124">
      <c r="B124" s="138"/>
      <c r="U124" s="31"/>
    </row>
    <row r="125">
      <c r="B125" s="138"/>
      <c r="U125" s="31"/>
    </row>
    <row r="126">
      <c r="B126" s="138"/>
      <c r="U126" s="31"/>
    </row>
    <row r="127">
      <c r="B127" s="138"/>
      <c r="U127" s="31"/>
    </row>
    <row r="128">
      <c r="B128" s="138"/>
      <c r="U128" s="31"/>
    </row>
    <row r="129">
      <c r="B129" s="138"/>
      <c r="U129" s="31"/>
    </row>
    <row r="130">
      <c r="B130" s="138"/>
      <c r="U130" s="31"/>
    </row>
    <row r="131">
      <c r="B131" s="138"/>
      <c r="U131" s="31"/>
    </row>
    <row r="132">
      <c r="B132" s="138"/>
      <c r="U132" s="31"/>
    </row>
    <row r="133">
      <c r="B133" s="138"/>
      <c r="U133" s="31"/>
    </row>
    <row r="134">
      <c r="B134" s="138"/>
      <c r="U134" s="31"/>
    </row>
    <row r="135">
      <c r="B135" s="138"/>
      <c r="U135" s="31"/>
    </row>
    <row r="136">
      <c r="B136" s="138"/>
      <c r="U136" s="31"/>
    </row>
    <row r="137">
      <c r="B137" s="138"/>
      <c r="U137" s="31"/>
    </row>
    <row r="138">
      <c r="B138" s="138"/>
      <c r="U138" s="31"/>
    </row>
    <row r="139">
      <c r="B139" s="138"/>
      <c r="U139" s="31"/>
    </row>
    <row r="140">
      <c r="B140" s="138"/>
      <c r="U140" s="31"/>
    </row>
    <row r="141">
      <c r="B141" s="138"/>
      <c r="U141" s="31"/>
    </row>
    <row r="142">
      <c r="B142" s="138"/>
      <c r="U142" s="31"/>
    </row>
    <row r="143">
      <c r="B143" s="138"/>
      <c r="U143" s="31"/>
    </row>
    <row r="144">
      <c r="B144" s="138"/>
      <c r="U144" s="31"/>
    </row>
    <row r="145">
      <c r="B145" s="138"/>
      <c r="U145" s="31"/>
    </row>
    <row r="146">
      <c r="B146" s="138"/>
      <c r="U146" s="31"/>
    </row>
    <row r="147">
      <c r="B147" s="138"/>
      <c r="U147" s="31"/>
    </row>
    <row r="148">
      <c r="B148" s="138"/>
      <c r="U148" s="31"/>
    </row>
    <row r="149">
      <c r="B149" s="138"/>
      <c r="U149" s="31"/>
    </row>
    <row r="150">
      <c r="B150" s="138"/>
      <c r="U150" s="31"/>
    </row>
    <row r="151">
      <c r="B151" s="138"/>
      <c r="U151" s="31"/>
    </row>
    <row r="152">
      <c r="B152" s="138"/>
      <c r="U152" s="31"/>
    </row>
    <row r="153">
      <c r="B153" s="138"/>
      <c r="U153" s="31"/>
    </row>
    <row r="154">
      <c r="B154" s="138"/>
      <c r="U154" s="31"/>
    </row>
    <row r="155">
      <c r="B155" s="138"/>
      <c r="U155" s="31"/>
    </row>
    <row r="156">
      <c r="B156" s="138"/>
      <c r="U156" s="31"/>
    </row>
    <row r="157">
      <c r="B157" s="138"/>
      <c r="U157" s="31"/>
    </row>
    <row r="158">
      <c r="B158" s="138"/>
      <c r="U158" s="31"/>
    </row>
    <row r="159">
      <c r="B159" s="138"/>
      <c r="U159" s="31"/>
    </row>
    <row r="160">
      <c r="B160" s="138"/>
      <c r="U160" s="31"/>
    </row>
    <row r="161">
      <c r="B161" s="138"/>
      <c r="U161" s="31"/>
    </row>
    <row r="162">
      <c r="B162" s="138"/>
      <c r="U162" s="31"/>
    </row>
    <row r="163">
      <c r="B163" s="138"/>
      <c r="U163" s="31"/>
    </row>
    <row r="164">
      <c r="B164" s="138"/>
      <c r="U164" s="31"/>
    </row>
    <row r="165">
      <c r="B165" s="138"/>
      <c r="U165" s="31"/>
    </row>
    <row r="166">
      <c r="B166" s="138"/>
      <c r="U166" s="31"/>
    </row>
    <row r="167">
      <c r="B167" s="138"/>
      <c r="U167" s="31"/>
    </row>
    <row r="168">
      <c r="B168" s="138"/>
      <c r="U168" s="31"/>
    </row>
    <row r="169">
      <c r="B169" s="138"/>
      <c r="U169" s="31"/>
    </row>
    <row r="170">
      <c r="B170" s="138"/>
      <c r="U170" s="31"/>
    </row>
    <row r="171">
      <c r="B171" s="138"/>
      <c r="U171" s="31"/>
    </row>
    <row r="172">
      <c r="B172" s="138"/>
      <c r="U172" s="31"/>
    </row>
    <row r="173">
      <c r="B173" s="138"/>
      <c r="U173" s="31"/>
    </row>
    <row r="174">
      <c r="B174" s="138"/>
      <c r="U174" s="31"/>
    </row>
    <row r="175">
      <c r="B175" s="138"/>
      <c r="U175" s="31"/>
    </row>
    <row r="176">
      <c r="B176" s="138"/>
      <c r="U176" s="31"/>
    </row>
    <row r="177">
      <c r="B177" s="138"/>
      <c r="U177" s="31"/>
    </row>
    <row r="178">
      <c r="B178" s="138"/>
      <c r="U178" s="31"/>
    </row>
    <row r="179">
      <c r="B179" s="138"/>
      <c r="U179" s="31"/>
    </row>
    <row r="180">
      <c r="B180" s="138"/>
      <c r="U180" s="31"/>
    </row>
    <row r="181">
      <c r="B181" s="138"/>
      <c r="U181" s="31"/>
    </row>
    <row r="182">
      <c r="B182" s="138"/>
      <c r="U182" s="31"/>
    </row>
    <row r="183">
      <c r="B183" s="138"/>
      <c r="U183" s="31"/>
    </row>
    <row r="184">
      <c r="B184" s="138"/>
      <c r="U184" s="31"/>
    </row>
    <row r="185">
      <c r="B185" s="138"/>
      <c r="U185" s="31"/>
    </row>
    <row r="186">
      <c r="B186" s="138"/>
      <c r="U186" s="31"/>
    </row>
    <row r="187">
      <c r="B187" s="138"/>
      <c r="U187" s="31"/>
    </row>
    <row r="188">
      <c r="B188" s="138"/>
      <c r="U188" s="31"/>
    </row>
    <row r="189">
      <c r="B189" s="138"/>
      <c r="U189" s="31"/>
    </row>
    <row r="190">
      <c r="B190" s="138"/>
      <c r="U190" s="31"/>
    </row>
    <row r="191">
      <c r="B191" s="138"/>
      <c r="U191" s="31"/>
    </row>
    <row r="192">
      <c r="B192" s="138"/>
      <c r="U192" s="31"/>
    </row>
    <row r="193">
      <c r="B193" s="138"/>
      <c r="U193" s="31"/>
    </row>
    <row r="194">
      <c r="B194" s="138"/>
      <c r="U194" s="31"/>
    </row>
    <row r="195">
      <c r="B195" s="138"/>
      <c r="U195" s="31"/>
    </row>
    <row r="196">
      <c r="B196" s="138"/>
      <c r="U196" s="31"/>
    </row>
    <row r="197">
      <c r="B197" s="138"/>
      <c r="U197" s="31"/>
    </row>
    <row r="198">
      <c r="B198" s="138"/>
      <c r="U198" s="31"/>
    </row>
    <row r="199">
      <c r="B199" s="138"/>
      <c r="U199" s="31"/>
    </row>
    <row r="200">
      <c r="B200" s="138"/>
      <c r="U200" s="31"/>
    </row>
    <row r="201">
      <c r="B201" s="138"/>
      <c r="U201" s="31"/>
    </row>
    <row r="202">
      <c r="B202" s="138"/>
      <c r="U202" s="31"/>
    </row>
    <row r="203">
      <c r="B203" s="138"/>
      <c r="U203" s="31"/>
    </row>
    <row r="204">
      <c r="B204" s="138"/>
      <c r="U204" s="31"/>
    </row>
    <row r="205">
      <c r="B205" s="138"/>
      <c r="U205" s="31"/>
    </row>
    <row r="206">
      <c r="B206" s="138"/>
      <c r="U206" s="31"/>
    </row>
    <row r="207">
      <c r="B207" s="138"/>
      <c r="U207" s="31"/>
    </row>
    <row r="208">
      <c r="B208" s="138"/>
      <c r="U208" s="31"/>
    </row>
    <row r="209">
      <c r="B209" s="138"/>
      <c r="U209" s="31"/>
    </row>
    <row r="210">
      <c r="B210" s="138"/>
      <c r="U210" s="31"/>
    </row>
    <row r="211">
      <c r="B211" s="138"/>
      <c r="U211" s="31"/>
    </row>
    <row r="212">
      <c r="B212" s="138"/>
      <c r="U212" s="31"/>
    </row>
    <row r="213">
      <c r="B213" s="138"/>
      <c r="U213" s="31"/>
    </row>
    <row r="214">
      <c r="B214" s="138"/>
      <c r="U214" s="31"/>
    </row>
    <row r="215">
      <c r="B215" s="138"/>
      <c r="U215" s="31"/>
    </row>
    <row r="216">
      <c r="B216" s="138"/>
      <c r="U216" s="31"/>
    </row>
    <row r="217">
      <c r="B217" s="138"/>
      <c r="U217" s="31"/>
    </row>
    <row r="218">
      <c r="B218" s="138"/>
      <c r="U218" s="31"/>
    </row>
    <row r="219">
      <c r="B219" s="138"/>
      <c r="U219" s="31"/>
    </row>
    <row r="220">
      <c r="B220" s="138"/>
      <c r="U220" s="31"/>
    </row>
    <row r="221">
      <c r="B221" s="138"/>
      <c r="U221" s="31"/>
    </row>
    <row r="222">
      <c r="B222" s="138"/>
      <c r="U222" s="31"/>
    </row>
    <row r="223">
      <c r="B223" s="138"/>
      <c r="U223" s="31"/>
    </row>
    <row r="224">
      <c r="B224" s="138"/>
      <c r="U224" s="31"/>
    </row>
    <row r="225">
      <c r="B225" s="138"/>
      <c r="U225" s="31"/>
    </row>
    <row r="226">
      <c r="B226" s="138"/>
      <c r="U226" s="31"/>
    </row>
    <row r="227">
      <c r="B227" s="138"/>
      <c r="U227" s="31"/>
    </row>
    <row r="228">
      <c r="B228" s="138"/>
      <c r="U228" s="31"/>
    </row>
    <row r="229">
      <c r="B229" s="138"/>
      <c r="U229" s="31"/>
    </row>
    <row r="230">
      <c r="B230" s="138"/>
      <c r="U230" s="31"/>
    </row>
    <row r="231">
      <c r="B231" s="138"/>
      <c r="U231" s="31"/>
    </row>
    <row r="232">
      <c r="B232" s="138"/>
      <c r="U232" s="31"/>
    </row>
    <row r="233">
      <c r="B233" s="138"/>
      <c r="U233" s="31"/>
    </row>
    <row r="234">
      <c r="B234" s="138"/>
      <c r="U234" s="31"/>
    </row>
    <row r="235">
      <c r="B235" s="138"/>
      <c r="U235" s="31"/>
    </row>
    <row r="236">
      <c r="B236" s="138"/>
      <c r="U236" s="31"/>
    </row>
    <row r="237">
      <c r="B237" s="138"/>
      <c r="U237" s="31"/>
    </row>
    <row r="238">
      <c r="B238" s="138"/>
      <c r="U238" s="31"/>
    </row>
    <row r="239">
      <c r="B239" s="138"/>
      <c r="U239" s="31"/>
    </row>
    <row r="240">
      <c r="B240" s="138"/>
      <c r="U240" s="31"/>
    </row>
    <row r="241">
      <c r="B241" s="138"/>
      <c r="U241" s="31"/>
    </row>
    <row r="242">
      <c r="B242" s="138"/>
      <c r="U242" s="31"/>
    </row>
    <row r="243">
      <c r="B243" s="138"/>
      <c r="U243" s="31"/>
    </row>
    <row r="244">
      <c r="B244" s="138"/>
      <c r="U244" s="31"/>
    </row>
    <row r="245">
      <c r="B245" s="138"/>
      <c r="U245" s="31"/>
    </row>
    <row r="246">
      <c r="B246" s="138"/>
      <c r="U246" s="31"/>
    </row>
    <row r="247">
      <c r="B247" s="138"/>
      <c r="U247" s="31"/>
    </row>
    <row r="248">
      <c r="B248" s="138"/>
      <c r="U248" s="31"/>
    </row>
    <row r="249">
      <c r="B249" s="138"/>
      <c r="U249" s="31"/>
    </row>
    <row r="250">
      <c r="B250" s="138"/>
      <c r="U250" s="31"/>
    </row>
    <row r="251">
      <c r="B251" s="138"/>
      <c r="U251" s="31"/>
    </row>
    <row r="252">
      <c r="B252" s="138"/>
      <c r="U252" s="31"/>
    </row>
    <row r="253">
      <c r="B253" s="138"/>
      <c r="U253" s="31"/>
    </row>
    <row r="254">
      <c r="B254" s="138"/>
      <c r="U254" s="31"/>
    </row>
    <row r="255">
      <c r="B255" s="138"/>
      <c r="U255" s="31"/>
    </row>
    <row r="256">
      <c r="B256" s="138"/>
      <c r="U256" s="31"/>
    </row>
    <row r="257">
      <c r="B257" s="138"/>
      <c r="U257" s="31"/>
    </row>
    <row r="258">
      <c r="B258" s="138"/>
      <c r="U258" s="31"/>
    </row>
    <row r="259">
      <c r="B259" s="138"/>
      <c r="U259" s="31"/>
    </row>
    <row r="260">
      <c r="B260" s="138"/>
      <c r="U260" s="31"/>
    </row>
    <row r="261">
      <c r="B261" s="138"/>
      <c r="U261" s="31"/>
    </row>
    <row r="262">
      <c r="B262" s="138"/>
      <c r="U262" s="31"/>
    </row>
    <row r="263">
      <c r="B263" s="138"/>
      <c r="U263" s="31"/>
    </row>
    <row r="264">
      <c r="B264" s="138"/>
      <c r="U264" s="31"/>
    </row>
    <row r="265">
      <c r="B265" s="138"/>
      <c r="U265" s="31"/>
    </row>
    <row r="266">
      <c r="B266" s="138"/>
      <c r="U266" s="31"/>
    </row>
    <row r="267">
      <c r="B267" s="138"/>
      <c r="U267" s="31"/>
    </row>
    <row r="268">
      <c r="B268" s="138"/>
      <c r="U268" s="31"/>
    </row>
    <row r="269">
      <c r="B269" s="138"/>
      <c r="U269" s="31"/>
    </row>
    <row r="270">
      <c r="B270" s="138"/>
      <c r="U270" s="31"/>
    </row>
    <row r="271">
      <c r="B271" s="138"/>
      <c r="U271" s="31"/>
    </row>
    <row r="272">
      <c r="B272" s="138"/>
      <c r="U272" s="31"/>
    </row>
    <row r="273">
      <c r="B273" s="138"/>
      <c r="U273" s="31"/>
    </row>
    <row r="274">
      <c r="B274" s="138"/>
      <c r="U274" s="31"/>
    </row>
    <row r="275">
      <c r="B275" s="138"/>
      <c r="U275" s="31"/>
    </row>
    <row r="276">
      <c r="B276" s="138"/>
      <c r="U276" s="31"/>
    </row>
    <row r="277">
      <c r="B277" s="138"/>
      <c r="U277" s="31"/>
    </row>
    <row r="278">
      <c r="B278" s="138"/>
      <c r="U278" s="31"/>
    </row>
    <row r="279">
      <c r="B279" s="138"/>
      <c r="U279" s="31"/>
    </row>
    <row r="280">
      <c r="B280" s="138"/>
      <c r="U280" s="31"/>
    </row>
    <row r="281">
      <c r="B281" s="138"/>
      <c r="U281" s="31"/>
    </row>
    <row r="282">
      <c r="B282" s="138"/>
      <c r="U282" s="31"/>
    </row>
    <row r="283">
      <c r="B283" s="138"/>
      <c r="U283" s="31"/>
    </row>
    <row r="284">
      <c r="B284" s="138"/>
      <c r="U284" s="31"/>
    </row>
    <row r="285">
      <c r="B285" s="138"/>
      <c r="U285" s="31"/>
    </row>
    <row r="286">
      <c r="B286" s="138"/>
      <c r="U286" s="31"/>
    </row>
    <row r="287">
      <c r="B287" s="138"/>
      <c r="U287" s="31"/>
    </row>
    <row r="288">
      <c r="B288" s="138"/>
      <c r="U288" s="31"/>
    </row>
    <row r="289">
      <c r="B289" s="138"/>
      <c r="U289" s="31"/>
    </row>
    <row r="290">
      <c r="B290" s="138"/>
      <c r="U290" s="31"/>
    </row>
    <row r="291">
      <c r="B291" s="138"/>
      <c r="U291" s="31"/>
    </row>
    <row r="292">
      <c r="B292" s="138"/>
      <c r="U292" s="31"/>
    </row>
    <row r="293">
      <c r="B293" s="138"/>
      <c r="U293" s="31"/>
    </row>
    <row r="294">
      <c r="B294" s="138"/>
      <c r="U294" s="31"/>
    </row>
    <row r="295">
      <c r="B295" s="138"/>
      <c r="U295" s="31"/>
    </row>
    <row r="296">
      <c r="B296" s="138"/>
      <c r="U296" s="31"/>
    </row>
    <row r="297">
      <c r="B297" s="138"/>
      <c r="U297" s="31"/>
    </row>
    <row r="298">
      <c r="B298" s="138"/>
      <c r="U298" s="31"/>
    </row>
    <row r="299">
      <c r="B299" s="138"/>
      <c r="U299" s="31"/>
    </row>
    <row r="300">
      <c r="B300" s="138"/>
      <c r="U300" s="31"/>
    </row>
    <row r="301">
      <c r="B301" s="138"/>
      <c r="U301" s="31"/>
    </row>
    <row r="302">
      <c r="B302" s="138"/>
      <c r="U302" s="31"/>
    </row>
    <row r="303">
      <c r="B303" s="138"/>
      <c r="U303" s="31"/>
    </row>
    <row r="304">
      <c r="B304" s="138"/>
      <c r="U304" s="31"/>
    </row>
    <row r="305">
      <c r="B305" s="138"/>
      <c r="U305" s="31"/>
    </row>
    <row r="306">
      <c r="B306" s="138"/>
      <c r="U306" s="31"/>
    </row>
    <row r="307">
      <c r="B307" s="138"/>
      <c r="U307" s="31"/>
    </row>
    <row r="308">
      <c r="B308" s="138"/>
      <c r="U308" s="31"/>
    </row>
    <row r="309">
      <c r="B309" s="138"/>
      <c r="U309" s="31"/>
    </row>
    <row r="310">
      <c r="B310" s="138"/>
      <c r="U310" s="31"/>
    </row>
    <row r="311">
      <c r="B311" s="138"/>
      <c r="U311" s="31"/>
    </row>
    <row r="312">
      <c r="B312" s="138"/>
      <c r="U312" s="31"/>
    </row>
    <row r="313">
      <c r="B313" s="138"/>
      <c r="U313" s="31"/>
    </row>
    <row r="314">
      <c r="B314" s="138"/>
      <c r="U314" s="31"/>
    </row>
    <row r="315">
      <c r="B315" s="138"/>
      <c r="U315" s="31"/>
    </row>
    <row r="316">
      <c r="B316" s="138"/>
      <c r="U316" s="31"/>
    </row>
    <row r="317">
      <c r="B317" s="138"/>
      <c r="U317" s="31"/>
    </row>
    <row r="318">
      <c r="B318" s="138"/>
      <c r="U318" s="31"/>
    </row>
    <row r="319">
      <c r="B319" s="138"/>
      <c r="U319" s="31"/>
    </row>
    <row r="320">
      <c r="B320" s="138"/>
      <c r="U320" s="31"/>
    </row>
    <row r="321">
      <c r="B321" s="138"/>
      <c r="U321" s="31"/>
    </row>
    <row r="322">
      <c r="B322" s="138"/>
      <c r="U322" s="31"/>
    </row>
    <row r="323">
      <c r="B323" s="138"/>
      <c r="U323" s="31"/>
    </row>
    <row r="324">
      <c r="B324" s="138"/>
      <c r="U324" s="31"/>
    </row>
    <row r="325">
      <c r="B325" s="138"/>
      <c r="U325" s="31"/>
    </row>
    <row r="326">
      <c r="B326" s="138"/>
      <c r="U326" s="31"/>
    </row>
    <row r="327">
      <c r="B327" s="138"/>
      <c r="U327" s="31"/>
    </row>
    <row r="328">
      <c r="B328" s="138"/>
      <c r="U328" s="31"/>
    </row>
    <row r="329">
      <c r="B329" s="138"/>
      <c r="U329" s="31"/>
    </row>
    <row r="330">
      <c r="B330" s="138"/>
      <c r="U330" s="31"/>
    </row>
    <row r="331">
      <c r="B331" s="138"/>
      <c r="U331" s="31"/>
    </row>
    <row r="332">
      <c r="B332" s="138"/>
      <c r="U332" s="31"/>
    </row>
    <row r="333">
      <c r="B333" s="138"/>
      <c r="U333" s="31"/>
    </row>
    <row r="334">
      <c r="B334" s="138"/>
      <c r="U334" s="31"/>
    </row>
    <row r="335">
      <c r="B335" s="138"/>
      <c r="U335" s="31"/>
    </row>
    <row r="336">
      <c r="B336" s="138"/>
      <c r="U336" s="31"/>
    </row>
    <row r="337">
      <c r="B337" s="138"/>
      <c r="U337" s="31"/>
    </row>
    <row r="338">
      <c r="B338" s="138"/>
      <c r="U338" s="31"/>
    </row>
    <row r="339">
      <c r="B339" s="138"/>
      <c r="U339" s="31"/>
    </row>
    <row r="340">
      <c r="B340" s="138"/>
      <c r="U340" s="31"/>
    </row>
    <row r="341">
      <c r="B341" s="138"/>
      <c r="U341" s="31"/>
    </row>
    <row r="342">
      <c r="B342" s="138"/>
      <c r="U342" s="31"/>
    </row>
    <row r="343">
      <c r="B343" s="138"/>
      <c r="U343" s="31"/>
    </row>
    <row r="344">
      <c r="B344" s="138"/>
      <c r="U344" s="31"/>
    </row>
    <row r="345">
      <c r="B345" s="138"/>
      <c r="U345" s="31"/>
    </row>
    <row r="346">
      <c r="B346" s="138"/>
      <c r="U346" s="31"/>
    </row>
    <row r="347">
      <c r="B347" s="138"/>
      <c r="U347" s="31"/>
    </row>
    <row r="348">
      <c r="B348" s="138"/>
      <c r="U348" s="31"/>
    </row>
    <row r="349">
      <c r="B349" s="138"/>
      <c r="U349" s="31"/>
    </row>
    <row r="350">
      <c r="B350" s="138"/>
      <c r="U350" s="31"/>
    </row>
    <row r="351">
      <c r="B351" s="138"/>
      <c r="U351" s="31"/>
    </row>
    <row r="352">
      <c r="B352" s="138"/>
      <c r="U352" s="31"/>
    </row>
    <row r="353">
      <c r="B353" s="138"/>
      <c r="U353" s="31"/>
    </row>
    <row r="354">
      <c r="B354" s="138"/>
      <c r="U354" s="31"/>
    </row>
    <row r="355">
      <c r="B355" s="138"/>
      <c r="U355" s="31"/>
    </row>
    <row r="356">
      <c r="B356" s="138"/>
      <c r="U356" s="31"/>
    </row>
    <row r="357">
      <c r="B357" s="138"/>
      <c r="U357" s="31"/>
    </row>
    <row r="358">
      <c r="B358" s="138"/>
      <c r="U358" s="31"/>
    </row>
    <row r="359">
      <c r="B359" s="138"/>
      <c r="U359" s="31"/>
    </row>
    <row r="360">
      <c r="B360" s="138"/>
      <c r="U360" s="31"/>
    </row>
    <row r="361">
      <c r="B361" s="138"/>
      <c r="U361" s="31"/>
    </row>
    <row r="362">
      <c r="B362" s="138"/>
      <c r="U362" s="31"/>
    </row>
    <row r="363">
      <c r="B363" s="138"/>
      <c r="U363" s="31"/>
    </row>
    <row r="364">
      <c r="B364" s="138"/>
      <c r="U364" s="31"/>
    </row>
    <row r="365">
      <c r="B365" s="138"/>
      <c r="U365" s="31"/>
    </row>
    <row r="366">
      <c r="B366" s="138"/>
      <c r="U366" s="31"/>
    </row>
    <row r="367">
      <c r="B367" s="138"/>
      <c r="U367" s="31"/>
    </row>
    <row r="368">
      <c r="B368" s="138"/>
      <c r="U368" s="31"/>
    </row>
    <row r="369">
      <c r="B369" s="138"/>
      <c r="U369" s="31"/>
    </row>
    <row r="370">
      <c r="B370" s="138"/>
      <c r="U370" s="31"/>
    </row>
    <row r="371">
      <c r="B371" s="138"/>
      <c r="U371" s="31"/>
    </row>
    <row r="372">
      <c r="B372" s="138"/>
      <c r="U372" s="31"/>
    </row>
    <row r="373">
      <c r="B373" s="138"/>
      <c r="U373" s="31"/>
    </row>
    <row r="374">
      <c r="B374" s="138"/>
      <c r="U374" s="31"/>
    </row>
    <row r="375">
      <c r="B375" s="138"/>
      <c r="U375" s="31"/>
    </row>
    <row r="376">
      <c r="B376" s="138"/>
      <c r="U376" s="31"/>
    </row>
    <row r="377">
      <c r="B377" s="138"/>
      <c r="U377" s="31"/>
    </row>
    <row r="378">
      <c r="B378" s="138"/>
      <c r="U378" s="31"/>
    </row>
    <row r="379">
      <c r="B379" s="138"/>
      <c r="U379" s="31"/>
    </row>
    <row r="380">
      <c r="B380" s="138"/>
      <c r="U380" s="31"/>
    </row>
    <row r="381">
      <c r="B381" s="138"/>
      <c r="U381" s="31"/>
    </row>
    <row r="382">
      <c r="B382" s="138"/>
      <c r="U382" s="31"/>
    </row>
    <row r="383">
      <c r="B383" s="138"/>
      <c r="U383" s="31"/>
    </row>
    <row r="384">
      <c r="B384" s="138"/>
      <c r="U384" s="31"/>
    </row>
    <row r="385">
      <c r="B385" s="138"/>
      <c r="U385" s="31"/>
    </row>
    <row r="386">
      <c r="B386" s="138"/>
      <c r="U386" s="31"/>
    </row>
    <row r="387">
      <c r="B387" s="138"/>
      <c r="U387" s="31"/>
    </row>
    <row r="388">
      <c r="B388" s="138"/>
      <c r="U388" s="31"/>
    </row>
    <row r="389">
      <c r="B389" s="138"/>
      <c r="U389" s="31"/>
    </row>
    <row r="390">
      <c r="B390" s="138"/>
      <c r="U390" s="31"/>
    </row>
    <row r="391">
      <c r="B391" s="138"/>
      <c r="U391" s="31"/>
    </row>
    <row r="392">
      <c r="B392" s="138"/>
      <c r="U392" s="31"/>
    </row>
    <row r="393">
      <c r="B393" s="138"/>
      <c r="U393" s="31"/>
    </row>
    <row r="394">
      <c r="B394" s="138"/>
      <c r="U394" s="31"/>
    </row>
    <row r="395">
      <c r="B395" s="138"/>
      <c r="U395" s="31"/>
    </row>
    <row r="396">
      <c r="B396" s="138"/>
      <c r="U396" s="31"/>
    </row>
    <row r="397">
      <c r="B397" s="138"/>
      <c r="U397" s="31"/>
    </row>
    <row r="398">
      <c r="B398" s="138"/>
      <c r="U398" s="31"/>
    </row>
    <row r="399">
      <c r="B399" s="138"/>
      <c r="U399" s="31"/>
    </row>
    <row r="400">
      <c r="B400" s="138"/>
      <c r="U400" s="31"/>
    </row>
    <row r="401">
      <c r="B401" s="138"/>
      <c r="U401" s="31"/>
    </row>
    <row r="402">
      <c r="B402" s="138"/>
      <c r="U402" s="31"/>
    </row>
    <row r="403">
      <c r="B403" s="138"/>
      <c r="U403" s="31"/>
    </row>
    <row r="404">
      <c r="B404" s="138"/>
      <c r="U404" s="31"/>
    </row>
    <row r="405">
      <c r="B405" s="138"/>
      <c r="U405" s="31"/>
    </row>
    <row r="406">
      <c r="B406" s="138"/>
      <c r="U406" s="31"/>
    </row>
    <row r="407">
      <c r="B407" s="138"/>
      <c r="U407" s="31"/>
    </row>
    <row r="408">
      <c r="B408" s="138"/>
      <c r="U408" s="31"/>
    </row>
    <row r="409">
      <c r="B409" s="138"/>
      <c r="U409" s="31"/>
    </row>
    <row r="410">
      <c r="B410" s="138"/>
      <c r="U410" s="31"/>
    </row>
    <row r="411">
      <c r="B411" s="138"/>
      <c r="U411" s="31"/>
    </row>
    <row r="412">
      <c r="B412" s="138"/>
      <c r="U412" s="31"/>
    </row>
    <row r="413">
      <c r="B413" s="138"/>
      <c r="U413" s="31"/>
    </row>
    <row r="414">
      <c r="B414" s="138"/>
      <c r="U414" s="31"/>
    </row>
    <row r="415">
      <c r="B415" s="138"/>
      <c r="U415" s="31"/>
    </row>
    <row r="416">
      <c r="B416" s="138"/>
      <c r="U416" s="31"/>
    </row>
    <row r="417">
      <c r="B417" s="138"/>
      <c r="U417" s="31"/>
    </row>
    <row r="418">
      <c r="B418" s="138"/>
      <c r="U418" s="31"/>
    </row>
    <row r="419">
      <c r="B419" s="138"/>
      <c r="U419" s="31"/>
    </row>
    <row r="420">
      <c r="B420" s="138"/>
      <c r="U420" s="31"/>
    </row>
    <row r="421">
      <c r="B421" s="138"/>
      <c r="U421" s="31"/>
    </row>
    <row r="422">
      <c r="B422" s="138"/>
      <c r="U422" s="31"/>
    </row>
    <row r="423">
      <c r="B423" s="138"/>
      <c r="U423" s="31"/>
    </row>
    <row r="424">
      <c r="B424" s="138"/>
      <c r="U424" s="31"/>
    </row>
    <row r="425">
      <c r="B425" s="138"/>
      <c r="U425" s="31"/>
    </row>
    <row r="426">
      <c r="B426" s="138"/>
      <c r="U426" s="31"/>
    </row>
    <row r="427">
      <c r="B427" s="138"/>
      <c r="U427" s="31"/>
    </row>
    <row r="428">
      <c r="B428" s="138"/>
      <c r="U428" s="31"/>
    </row>
    <row r="429">
      <c r="B429" s="138"/>
      <c r="U429" s="31"/>
    </row>
    <row r="430">
      <c r="B430" s="138"/>
      <c r="U430" s="31"/>
    </row>
    <row r="431">
      <c r="B431" s="138"/>
      <c r="U431" s="31"/>
    </row>
    <row r="432">
      <c r="B432" s="138"/>
      <c r="U432" s="31"/>
    </row>
    <row r="433">
      <c r="B433" s="138"/>
      <c r="U433" s="31"/>
    </row>
    <row r="434">
      <c r="B434" s="138"/>
      <c r="U434" s="31"/>
    </row>
    <row r="435">
      <c r="B435" s="138"/>
      <c r="U435" s="31"/>
    </row>
    <row r="436">
      <c r="B436" s="138"/>
      <c r="U436" s="31"/>
    </row>
    <row r="437">
      <c r="B437" s="138"/>
      <c r="U437" s="31"/>
    </row>
    <row r="438">
      <c r="B438" s="138"/>
      <c r="U438" s="31"/>
    </row>
    <row r="439">
      <c r="B439" s="138"/>
      <c r="U439" s="31"/>
    </row>
    <row r="440">
      <c r="B440" s="138"/>
      <c r="U440" s="31"/>
    </row>
    <row r="441">
      <c r="B441" s="138"/>
      <c r="U441" s="31"/>
    </row>
    <row r="442">
      <c r="B442" s="138"/>
      <c r="U442" s="31"/>
    </row>
    <row r="443">
      <c r="B443" s="138"/>
      <c r="U443" s="31"/>
    </row>
    <row r="444">
      <c r="B444" s="138"/>
      <c r="U444" s="31"/>
    </row>
    <row r="445">
      <c r="B445" s="138"/>
      <c r="U445" s="31"/>
    </row>
    <row r="446">
      <c r="B446" s="138"/>
      <c r="U446" s="31"/>
    </row>
    <row r="447">
      <c r="B447" s="138"/>
      <c r="U447" s="31"/>
    </row>
    <row r="448">
      <c r="B448" s="138"/>
      <c r="U448" s="31"/>
    </row>
    <row r="449">
      <c r="B449" s="138"/>
      <c r="U449" s="31"/>
    </row>
    <row r="450">
      <c r="B450" s="138"/>
      <c r="U450" s="31"/>
    </row>
    <row r="451">
      <c r="B451" s="138"/>
      <c r="U451" s="31"/>
    </row>
    <row r="452">
      <c r="B452" s="138"/>
      <c r="U452" s="31"/>
    </row>
    <row r="453">
      <c r="B453" s="138"/>
      <c r="U453" s="31"/>
    </row>
    <row r="454">
      <c r="B454" s="138"/>
      <c r="U454" s="31"/>
    </row>
    <row r="455">
      <c r="B455" s="138"/>
      <c r="U455" s="31"/>
    </row>
    <row r="456">
      <c r="B456" s="138"/>
      <c r="U456" s="31"/>
    </row>
    <row r="457">
      <c r="B457" s="138"/>
      <c r="U457" s="31"/>
    </row>
    <row r="458">
      <c r="B458" s="138"/>
      <c r="U458" s="31"/>
    </row>
    <row r="459">
      <c r="B459" s="138"/>
      <c r="U459" s="31"/>
    </row>
    <row r="460">
      <c r="B460" s="138"/>
      <c r="U460" s="31"/>
    </row>
    <row r="461">
      <c r="B461" s="138"/>
      <c r="U461" s="31"/>
    </row>
    <row r="462">
      <c r="B462" s="138"/>
      <c r="U462" s="31"/>
    </row>
    <row r="463">
      <c r="B463" s="138"/>
      <c r="U463" s="31"/>
    </row>
    <row r="464">
      <c r="B464" s="138"/>
      <c r="U464" s="31"/>
    </row>
    <row r="465">
      <c r="B465" s="138"/>
      <c r="U465" s="31"/>
    </row>
    <row r="466">
      <c r="B466" s="138"/>
      <c r="U466" s="31"/>
    </row>
    <row r="467">
      <c r="B467" s="138"/>
      <c r="U467" s="31"/>
    </row>
    <row r="468">
      <c r="B468" s="138"/>
      <c r="U468" s="31"/>
    </row>
    <row r="469">
      <c r="B469" s="138"/>
      <c r="U469" s="31"/>
    </row>
    <row r="470">
      <c r="B470" s="138"/>
      <c r="U470" s="31"/>
    </row>
    <row r="471">
      <c r="B471" s="138"/>
      <c r="U471" s="31"/>
    </row>
    <row r="472">
      <c r="B472" s="138"/>
      <c r="U472" s="31"/>
    </row>
    <row r="473">
      <c r="B473" s="138"/>
      <c r="U473" s="31"/>
    </row>
    <row r="474">
      <c r="B474" s="138"/>
      <c r="U474" s="31"/>
    </row>
    <row r="475">
      <c r="B475" s="138"/>
      <c r="U475" s="31"/>
    </row>
    <row r="476">
      <c r="B476" s="138"/>
      <c r="U476" s="31"/>
    </row>
    <row r="477">
      <c r="B477" s="138"/>
      <c r="U477" s="31"/>
    </row>
    <row r="478">
      <c r="B478" s="138"/>
      <c r="U478" s="31"/>
    </row>
    <row r="479">
      <c r="B479" s="138"/>
      <c r="U479" s="31"/>
    </row>
    <row r="480">
      <c r="B480" s="138"/>
      <c r="U480" s="31"/>
    </row>
    <row r="481">
      <c r="B481" s="138"/>
      <c r="U481" s="31"/>
    </row>
    <row r="482">
      <c r="B482" s="138"/>
      <c r="U482" s="31"/>
    </row>
    <row r="483">
      <c r="B483" s="138"/>
      <c r="U483" s="31"/>
    </row>
    <row r="484">
      <c r="B484" s="138"/>
      <c r="U484" s="31"/>
    </row>
    <row r="485">
      <c r="B485" s="138"/>
      <c r="U485" s="31"/>
    </row>
    <row r="486">
      <c r="B486" s="138"/>
      <c r="U486" s="31"/>
    </row>
    <row r="487">
      <c r="B487" s="138"/>
      <c r="U487" s="31"/>
    </row>
    <row r="488">
      <c r="B488" s="138"/>
      <c r="U488" s="31"/>
    </row>
    <row r="489">
      <c r="B489" s="138"/>
      <c r="U489" s="31"/>
    </row>
    <row r="490">
      <c r="B490" s="138"/>
      <c r="U490" s="31"/>
    </row>
    <row r="491">
      <c r="B491" s="138"/>
      <c r="U491" s="31"/>
    </row>
    <row r="492">
      <c r="B492" s="138"/>
      <c r="U492" s="31"/>
    </row>
    <row r="493">
      <c r="B493" s="138"/>
      <c r="U493" s="31"/>
    </row>
    <row r="494">
      <c r="B494" s="138"/>
      <c r="U494" s="31"/>
    </row>
    <row r="495">
      <c r="B495" s="138"/>
      <c r="U495" s="31"/>
    </row>
    <row r="496">
      <c r="B496" s="138"/>
      <c r="U496" s="31"/>
    </row>
    <row r="497">
      <c r="B497" s="138"/>
      <c r="U497" s="31"/>
    </row>
    <row r="498">
      <c r="B498" s="138"/>
      <c r="U498" s="31"/>
    </row>
    <row r="499">
      <c r="B499" s="138"/>
      <c r="U499" s="31"/>
    </row>
    <row r="500">
      <c r="B500" s="138"/>
      <c r="U500" s="31"/>
    </row>
    <row r="501">
      <c r="B501" s="138"/>
      <c r="U501" s="31"/>
    </row>
    <row r="502">
      <c r="B502" s="138"/>
      <c r="U502" s="31"/>
    </row>
    <row r="503">
      <c r="B503" s="138"/>
      <c r="U503" s="31"/>
    </row>
    <row r="504">
      <c r="B504" s="138"/>
      <c r="U504" s="31"/>
    </row>
    <row r="505">
      <c r="B505" s="138"/>
      <c r="U505" s="31"/>
    </row>
    <row r="506">
      <c r="B506" s="138"/>
      <c r="U506" s="31"/>
    </row>
    <row r="507">
      <c r="B507" s="138"/>
      <c r="U507" s="31"/>
    </row>
    <row r="508">
      <c r="B508" s="138"/>
      <c r="U508" s="31"/>
    </row>
    <row r="509">
      <c r="B509" s="138"/>
      <c r="U509" s="31"/>
    </row>
    <row r="510">
      <c r="B510" s="138"/>
      <c r="U510" s="31"/>
    </row>
    <row r="511">
      <c r="B511" s="138"/>
      <c r="U511" s="31"/>
    </row>
    <row r="512">
      <c r="B512" s="138"/>
      <c r="U512" s="31"/>
    </row>
    <row r="513">
      <c r="B513" s="138"/>
      <c r="U513" s="31"/>
    </row>
    <row r="514">
      <c r="B514" s="138"/>
      <c r="U514" s="31"/>
    </row>
    <row r="515">
      <c r="B515" s="138"/>
      <c r="U515" s="31"/>
    </row>
    <row r="516">
      <c r="B516" s="138"/>
      <c r="U516" s="31"/>
    </row>
    <row r="517">
      <c r="B517" s="138"/>
      <c r="U517" s="31"/>
    </row>
    <row r="518">
      <c r="B518" s="138"/>
      <c r="U518" s="31"/>
    </row>
    <row r="519">
      <c r="B519" s="138"/>
      <c r="U519" s="31"/>
    </row>
    <row r="520">
      <c r="B520" s="138"/>
      <c r="U520" s="31"/>
    </row>
    <row r="521">
      <c r="B521" s="138"/>
      <c r="U521" s="31"/>
    </row>
    <row r="522">
      <c r="B522" s="138"/>
      <c r="U522" s="31"/>
    </row>
    <row r="523">
      <c r="B523" s="138"/>
      <c r="U523" s="31"/>
    </row>
    <row r="524">
      <c r="B524" s="138"/>
      <c r="U524" s="31"/>
    </row>
    <row r="525">
      <c r="B525" s="138"/>
      <c r="U525" s="31"/>
    </row>
    <row r="526">
      <c r="B526" s="138"/>
      <c r="U526" s="31"/>
    </row>
    <row r="527">
      <c r="B527" s="138"/>
      <c r="U527" s="31"/>
    </row>
    <row r="528">
      <c r="B528" s="138"/>
      <c r="U528" s="31"/>
    </row>
    <row r="529">
      <c r="B529" s="138"/>
      <c r="U529" s="31"/>
    </row>
    <row r="530">
      <c r="B530" s="138"/>
      <c r="U530" s="31"/>
    </row>
    <row r="531">
      <c r="B531" s="138"/>
      <c r="U531" s="31"/>
    </row>
    <row r="532">
      <c r="B532" s="138"/>
      <c r="U532" s="31"/>
    </row>
    <row r="533">
      <c r="B533" s="138"/>
      <c r="U533" s="31"/>
    </row>
    <row r="534">
      <c r="B534" s="138"/>
      <c r="U534" s="31"/>
    </row>
    <row r="535">
      <c r="B535" s="138"/>
      <c r="U535" s="31"/>
    </row>
    <row r="536">
      <c r="B536" s="138"/>
      <c r="U536" s="31"/>
    </row>
    <row r="537">
      <c r="B537" s="138"/>
      <c r="U537" s="31"/>
    </row>
    <row r="538">
      <c r="B538" s="138"/>
      <c r="U538" s="31"/>
    </row>
    <row r="539">
      <c r="B539" s="138"/>
      <c r="U539" s="31"/>
    </row>
    <row r="540">
      <c r="B540" s="138"/>
      <c r="U540" s="31"/>
    </row>
    <row r="541">
      <c r="B541" s="138"/>
      <c r="U541" s="31"/>
    </row>
    <row r="542">
      <c r="B542" s="138"/>
      <c r="U542" s="31"/>
    </row>
    <row r="543">
      <c r="B543" s="138"/>
      <c r="U543" s="31"/>
    </row>
    <row r="544">
      <c r="B544" s="138"/>
      <c r="U544" s="31"/>
    </row>
    <row r="545">
      <c r="B545" s="138"/>
      <c r="U545" s="31"/>
    </row>
    <row r="546">
      <c r="B546" s="138"/>
      <c r="U546" s="31"/>
    </row>
    <row r="547">
      <c r="B547" s="138"/>
      <c r="U547" s="31"/>
    </row>
    <row r="548">
      <c r="B548" s="138"/>
      <c r="U548" s="31"/>
    </row>
    <row r="549">
      <c r="B549" s="138"/>
      <c r="U549" s="31"/>
    </row>
    <row r="550">
      <c r="B550" s="138"/>
      <c r="U550" s="31"/>
    </row>
    <row r="551">
      <c r="B551" s="138"/>
      <c r="U551" s="31"/>
    </row>
    <row r="552">
      <c r="B552" s="138"/>
      <c r="U552" s="31"/>
    </row>
    <row r="553">
      <c r="B553" s="138"/>
      <c r="U553" s="31"/>
    </row>
    <row r="554">
      <c r="B554" s="138"/>
      <c r="U554" s="31"/>
    </row>
    <row r="555">
      <c r="B555" s="138"/>
      <c r="U555" s="31"/>
    </row>
    <row r="556">
      <c r="B556" s="138"/>
      <c r="U556" s="31"/>
    </row>
    <row r="557">
      <c r="B557" s="138"/>
      <c r="U557" s="31"/>
    </row>
    <row r="558">
      <c r="B558" s="138"/>
      <c r="U558" s="31"/>
    </row>
    <row r="559">
      <c r="B559" s="138"/>
      <c r="U559" s="31"/>
    </row>
    <row r="560">
      <c r="B560" s="138"/>
      <c r="U560" s="31"/>
    </row>
    <row r="561">
      <c r="B561" s="138"/>
      <c r="U561" s="31"/>
    </row>
    <row r="562">
      <c r="B562" s="138"/>
      <c r="U562" s="31"/>
    </row>
    <row r="563">
      <c r="B563" s="138"/>
      <c r="U563" s="31"/>
    </row>
    <row r="564">
      <c r="B564" s="138"/>
      <c r="U564" s="31"/>
    </row>
    <row r="565">
      <c r="B565" s="138"/>
      <c r="U565" s="31"/>
    </row>
    <row r="566">
      <c r="B566" s="138"/>
      <c r="U566" s="31"/>
    </row>
    <row r="567">
      <c r="B567" s="138"/>
      <c r="U567" s="31"/>
    </row>
    <row r="568">
      <c r="B568" s="138"/>
      <c r="U568" s="31"/>
    </row>
    <row r="569">
      <c r="B569" s="138"/>
      <c r="U569" s="31"/>
    </row>
    <row r="570">
      <c r="B570" s="138"/>
      <c r="U570" s="31"/>
    </row>
    <row r="571">
      <c r="B571" s="138"/>
      <c r="U571" s="31"/>
    </row>
    <row r="572">
      <c r="B572" s="138"/>
      <c r="U572" s="31"/>
    </row>
    <row r="573">
      <c r="B573" s="138"/>
      <c r="U573" s="31"/>
    </row>
    <row r="574">
      <c r="B574" s="138"/>
      <c r="U574" s="31"/>
    </row>
    <row r="575">
      <c r="B575" s="138"/>
      <c r="U575" s="31"/>
    </row>
    <row r="576">
      <c r="B576" s="138"/>
      <c r="U576" s="31"/>
    </row>
    <row r="577">
      <c r="B577" s="138"/>
      <c r="U577" s="31"/>
    </row>
    <row r="578">
      <c r="B578" s="138"/>
      <c r="U578" s="31"/>
    </row>
    <row r="579">
      <c r="B579" s="138"/>
      <c r="U579" s="31"/>
    </row>
    <row r="580">
      <c r="B580" s="138"/>
      <c r="U580" s="31"/>
    </row>
    <row r="581">
      <c r="B581" s="138"/>
      <c r="U581" s="31"/>
    </row>
    <row r="582">
      <c r="B582" s="138"/>
      <c r="U582" s="31"/>
    </row>
    <row r="583">
      <c r="B583" s="138"/>
      <c r="U583" s="31"/>
    </row>
    <row r="584">
      <c r="B584" s="138"/>
      <c r="U584" s="31"/>
    </row>
    <row r="585">
      <c r="B585" s="138"/>
      <c r="U585" s="31"/>
    </row>
    <row r="586">
      <c r="B586" s="138"/>
      <c r="U586" s="31"/>
    </row>
    <row r="587">
      <c r="B587" s="138"/>
      <c r="U587" s="31"/>
    </row>
    <row r="588">
      <c r="B588" s="138"/>
      <c r="U588" s="31"/>
    </row>
    <row r="589">
      <c r="B589" s="138"/>
      <c r="U589" s="31"/>
    </row>
    <row r="590">
      <c r="B590" s="138"/>
      <c r="U590" s="31"/>
    </row>
    <row r="591">
      <c r="B591" s="138"/>
      <c r="U591" s="31"/>
    </row>
    <row r="592">
      <c r="B592" s="138"/>
      <c r="U592" s="31"/>
    </row>
    <row r="593">
      <c r="B593" s="138"/>
      <c r="U593" s="31"/>
    </row>
    <row r="594">
      <c r="B594" s="138"/>
      <c r="U594" s="31"/>
    </row>
    <row r="595">
      <c r="B595" s="138"/>
      <c r="U595" s="31"/>
    </row>
    <row r="596">
      <c r="B596" s="138"/>
      <c r="U596" s="31"/>
    </row>
    <row r="597">
      <c r="B597" s="138"/>
      <c r="U597" s="31"/>
    </row>
    <row r="598">
      <c r="B598" s="138"/>
      <c r="U598" s="31"/>
    </row>
    <row r="599">
      <c r="B599" s="138"/>
      <c r="U599" s="31"/>
    </row>
    <row r="600">
      <c r="B600" s="138"/>
      <c r="U600" s="31"/>
    </row>
    <row r="601">
      <c r="B601" s="138"/>
      <c r="U601" s="31"/>
    </row>
    <row r="602">
      <c r="B602" s="138"/>
      <c r="U602" s="31"/>
    </row>
    <row r="603">
      <c r="B603" s="138"/>
      <c r="U603" s="31"/>
    </row>
    <row r="604">
      <c r="B604" s="138"/>
      <c r="U604" s="31"/>
    </row>
    <row r="605">
      <c r="B605" s="138"/>
      <c r="U605" s="31"/>
    </row>
    <row r="606">
      <c r="B606" s="138"/>
      <c r="U606" s="31"/>
    </row>
    <row r="607">
      <c r="B607" s="138"/>
      <c r="U607" s="31"/>
    </row>
    <row r="608">
      <c r="B608" s="138"/>
      <c r="U608" s="31"/>
    </row>
    <row r="609">
      <c r="B609" s="138"/>
      <c r="U609" s="31"/>
    </row>
    <row r="610">
      <c r="B610" s="138"/>
      <c r="U610" s="31"/>
    </row>
    <row r="611">
      <c r="B611" s="138"/>
      <c r="U611" s="31"/>
    </row>
    <row r="612">
      <c r="B612" s="138"/>
      <c r="U612" s="31"/>
    </row>
    <row r="613">
      <c r="B613" s="138"/>
      <c r="U613" s="31"/>
    </row>
    <row r="614">
      <c r="B614" s="138"/>
      <c r="U614" s="31"/>
    </row>
    <row r="615">
      <c r="B615" s="138"/>
      <c r="U615" s="31"/>
    </row>
    <row r="616">
      <c r="B616" s="138"/>
      <c r="U616" s="31"/>
    </row>
    <row r="617">
      <c r="B617" s="138"/>
      <c r="U617" s="31"/>
    </row>
    <row r="618">
      <c r="B618" s="138"/>
      <c r="U618" s="31"/>
    </row>
    <row r="619">
      <c r="B619" s="138"/>
      <c r="U619" s="31"/>
    </row>
    <row r="620">
      <c r="B620" s="138"/>
      <c r="U620" s="31"/>
    </row>
    <row r="621">
      <c r="B621" s="138"/>
      <c r="U621" s="31"/>
    </row>
    <row r="622">
      <c r="B622" s="138"/>
      <c r="U622" s="31"/>
    </row>
    <row r="623">
      <c r="B623" s="138"/>
      <c r="U623" s="31"/>
    </row>
    <row r="624">
      <c r="B624" s="138"/>
      <c r="U624" s="31"/>
    </row>
    <row r="625">
      <c r="B625" s="138"/>
      <c r="U625" s="31"/>
    </row>
    <row r="626">
      <c r="B626" s="138"/>
      <c r="U626" s="31"/>
    </row>
    <row r="627">
      <c r="B627" s="138"/>
      <c r="U627" s="31"/>
    </row>
    <row r="628">
      <c r="B628" s="138"/>
      <c r="U628" s="31"/>
    </row>
    <row r="629">
      <c r="B629" s="138"/>
      <c r="U629" s="31"/>
    </row>
    <row r="630">
      <c r="B630" s="138"/>
      <c r="U630" s="31"/>
    </row>
    <row r="631">
      <c r="B631" s="138"/>
      <c r="U631" s="31"/>
    </row>
    <row r="632">
      <c r="B632" s="138"/>
      <c r="U632" s="31"/>
    </row>
    <row r="633">
      <c r="B633" s="138"/>
      <c r="U633" s="31"/>
    </row>
    <row r="634">
      <c r="B634" s="138"/>
      <c r="U634" s="31"/>
    </row>
    <row r="635">
      <c r="B635" s="138"/>
      <c r="U635" s="31"/>
    </row>
    <row r="636">
      <c r="B636" s="138"/>
      <c r="U636" s="31"/>
    </row>
    <row r="637">
      <c r="B637" s="138"/>
      <c r="U637" s="31"/>
    </row>
    <row r="638">
      <c r="B638" s="138"/>
      <c r="U638" s="31"/>
    </row>
    <row r="639">
      <c r="B639" s="138"/>
      <c r="U639" s="31"/>
    </row>
    <row r="640">
      <c r="B640" s="138"/>
      <c r="U640" s="31"/>
    </row>
    <row r="641">
      <c r="B641" s="138"/>
      <c r="U641" s="31"/>
    </row>
    <row r="642">
      <c r="B642" s="138"/>
      <c r="U642" s="31"/>
    </row>
    <row r="643">
      <c r="B643" s="138"/>
      <c r="U643" s="31"/>
    </row>
    <row r="644">
      <c r="B644" s="138"/>
      <c r="U644" s="31"/>
    </row>
    <row r="645">
      <c r="B645" s="138"/>
      <c r="U645" s="31"/>
    </row>
    <row r="646">
      <c r="B646" s="138"/>
      <c r="U646" s="31"/>
    </row>
    <row r="647">
      <c r="B647" s="138"/>
      <c r="U647" s="31"/>
    </row>
    <row r="648">
      <c r="B648" s="138"/>
      <c r="U648" s="31"/>
    </row>
    <row r="649">
      <c r="B649" s="138"/>
      <c r="U649" s="31"/>
    </row>
    <row r="650">
      <c r="B650" s="138"/>
      <c r="U650" s="31"/>
    </row>
    <row r="651">
      <c r="B651" s="138"/>
      <c r="U651" s="31"/>
    </row>
    <row r="652">
      <c r="B652" s="138"/>
      <c r="U652" s="31"/>
    </row>
    <row r="653">
      <c r="B653" s="138"/>
      <c r="U653" s="31"/>
    </row>
    <row r="654">
      <c r="B654" s="138"/>
      <c r="U654" s="31"/>
    </row>
    <row r="655">
      <c r="B655" s="138"/>
      <c r="U655" s="31"/>
    </row>
    <row r="656">
      <c r="B656" s="138"/>
      <c r="U656" s="31"/>
    </row>
    <row r="657">
      <c r="B657" s="138"/>
      <c r="U657" s="31"/>
    </row>
    <row r="658">
      <c r="B658" s="138"/>
      <c r="U658" s="31"/>
    </row>
    <row r="659">
      <c r="B659" s="138"/>
      <c r="U659" s="31"/>
    </row>
    <row r="660">
      <c r="B660" s="138"/>
      <c r="U660" s="31"/>
    </row>
    <row r="661">
      <c r="B661" s="138"/>
      <c r="U661" s="31"/>
    </row>
    <row r="662">
      <c r="B662" s="138"/>
      <c r="U662" s="31"/>
    </row>
    <row r="663">
      <c r="B663" s="138"/>
      <c r="U663" s="31"/>
    </row>
    <row r="664">
      <c r="B664" s="138"/>
      <c r="U664" s="31"/>
    </row>
    <row r="665">
      <c r="B665" s="138"/>
      <c r="U665" s="31"/>
    </row>
    <row r="666">
      <c r="B666" s="138"/>
      <c r="U666" s="31"/>
    </row>
    <row r="667">
      <c r="B667" s="138"/>
      <c r="U667" s="31"/>
    </row>
    <row r="668">
      <c r="B668" s="138"/>
      <c r="U668" s="31"/>
    </row>
    <row r="669">
      <c r="B669" s="138"/>
      <c r="U669" s="31"/>
    </row>
    <row r="670">
      <c r="B670" s="138"/>
      <c r="U670" s="31"/>
    </row>
    <row r="671">
      <c r="B671" s="138"/>
      <c r="U671" s="31"/>
    </row>
    <row r="672">
      <c r="B672" s="138"/>
      <c r="U672" s="31"/>
    </row>
    <row r="673">
      <c r="B673" s="138"/>
      <c r="U673" s="31"/>
    </row>
    <row r="674">
      <c r="B674" s="138"/>
      <c r="U674" s="31"/>
    </row>
    <row r="675">
      <c r="B675" s="138"/>
      <c r="U675" s="31"/>
    </row>
    <row r="676">
      <c r="B676" s="138"/>
      <c r="U676" s="31"/>
    </row>
    <row r="677">
      <c r="B677" s="138"/>
      <c r="U677" s="31"/>
    </row>
    <row r="678">
      <c r="B678" s="138"/>
      <c r="U678" s="31"/>
    </row>
    <row r="679">
      <c r="B679" s="138"/>
      <c r="U679" s="31"/>
    </row>
    <row r="680">
      <c r="B680" s="138"/>
      <c r="U680" s="31"/>
    </row>
    <row r="681">
      <c r="B681" s="138"/>
      <c r="U681" s="31"/>
    </row>
    <row r="682">
      <c r="B682" s="138"/>
      <c r="U682" s="31"/>
    </row>
    <row r="683">
      <c r="B683" s="138"/>
      <c r="U683" s="31"/>
    </row>
    <row r="684">
      <c r="B684" s="138"/>
      <c r="U684" s="31"/>
    </row>
    <row r="685">
      <c r="B685" s="138"/>
      <c r="U685" s="31"/>
    </row>
    <row r="686">
      <c r="B686" s="138"/>
      <c r="U686" s="31"/>
    </row>
    <row r="687">
      <c r="B687" s="138"/>
      <c r="U687" s="31"/>
    </row>
    <row r="688">
      <c r="B688" s="138"/>
      <c r="U688" s="31"/>
    </row>
    <row r="689">
      <c r="B689" s="138"/>
      <c r="U689" s="31"/>
    </row>
    <row r="690">
      <c r="B690" s="138"/>
      <c r="U690" s="31"/>
    </row>
    <row r="691">
      <c r="B691" s="138"/>
      <c r="U691" s="31"/>
    </row>
    <row r="692">
      <c r="B692" s="138"/>
      <c r="U692" s="31"/>
    </row>
    <row r="693">
      <c r="B693" s="138"/>
      <c r="U693" s="31"/>
    </row>
    <row r="694">
      <c r="B694" s="138"/>
      <c r="U694" s="31"/>
    </row>
    <row r="695">
      <c r="B695" s="138"/>
      <c r="U695" s="31"/>
    </row>
    <row r="696">
      <c r="B696" s="138"/>
      <c r="U696" s="31"/>
    </row>
    <row r="697">
      <c r="B697" s="138"/>
      <c r="U697" s="31"/>
    </row>
    <row r="698">
      <c r="B698" s="138"/>
      <c r="U698" s="31"/>
    </row>
    <row r="699">
      <c r="B699" s="138"/>
      <c r="U699" s="31"/>
    </row>
    <row r="700">
      <c r="B700" s="138"/>
      <c r="U700" s="31"/>
    </row>
    <row r="701">
      <c r="B701" s="138"/>
      <c r="U701" s="31"/>
    </row>
    <row r="702">
      <c r="B702" s="138"/>
      <c r="U702" s="31"/>
    </row>
    <row r="703">
      <c r="B703" s="138"/>
      <c r="U703" s="31"/>
    </row>
    <row r="704">
      <c r="B704" s="138"/>
      <c r="U704" s="31"/>
    </row>
    <row r="705">
      <c r="B705" s="138"/>
      <c r="U705" s="31"/>
    </row>
    <row r="706">
      <c r="B706" s="138"/>
      <c r="U706" s="31"/>
    </row>
    <row r="707">
      <c r="B707" s="138"/>
      <c r="U707" s="31"/>
    </row>
    <row r="708">
      <c r="B708" s="138"/>
      <c r="U708" s="31"/>
    </row>
    <row r="709">
      <c r="B709" s="138"/>
      <c r="U709" s="31"/>
    </row>
    <row r="710">
      <c r="B710" s="138"/>
      <c r="U710" s="31"/>
    </row>
    <row r="711">
      <c r="B711" s="138"/>
      <c r="U711" s="31"/>
    </row>
    <row r="712">
      <c r="B712" s="138"/>
      <c r="U712" s="31"/>
    </row>
    <row r="713">
      <c r="B713" s="138"/>
      <c r="U713" s="31"/>
    </row>
    <row r="714">
      <c r="B714" s="138"/>
      <c r="U714" s="31"/>
    </row>
    <row r="715">
      <c r="B715" s="138"/>
      <c r="U715" s="31"/>
    </row>
    <row r="716">
      <c r="B716" s="138"/>
      <c r="U716" s="31"/>
    </row>
    <row r="717">
      <c r="B717" s="138"/>
      <c r="U717" s="31"/>
    </row>
    <row r="718">
      <c r="B718" s="138"/>
      <c r="U718" s="31"/>
    </row>
    <row r="719">
      <c r="B719" s="138"/>
      <c r="U719" s="31"/>
    </row>
    <row r="720">
      <c r="B720" s="138"/>
      <c r="U720" s="31"/>
    </row>
    <row r="721">
      <c r="B721" s="138"/>
      <c r="U721" s="31"/>
    </row>
    <row r="722">
      <c r="B722" s="138"/>
      <c r="U722" s="31"/>
    </row>
    <row r="723">
      <c r="B723" s="138"/>
      <c r="U723" s="31"/>
    </row>
    <row r="724">
      <c r="B724" s="138"/>
      <c r="U724" s="31"/>
    </row>
    <row r="725">
      <c r="B725" s="138"/>
      <c r="U725" s="31"/>
    </row>
    <row r="726">
      <c r="B726" s="138"/>
      <c r="U726" s="31"/>
    </row>
    <row r="727">
      <c r="B727" s="138"/>
      <c r="U727" s="31"/>
    </row>
    <row r="728">
      <c r="B728" s="138"/>
      <c r="U728" s="31"/>
    </row>
    <row r="729">
      <c r="B729" s="138"/>
      <c r="U729" s="31"/>
    </row>
    <row r="730">
      <c r="B730" s="138"/>
      <c r="U730" s="31"/>
    </row>
    <row r="731">
      <c r="B731" s="138"/>
      <c r="U731" s="31"/>
    </row>
    <row r="732">
      <c r="B732" s="138"/>
      <c r="U732" s="31"/>
    </row>
    <row r="733">
      <c r="B733" s="138"/>
      <c r="U733" s="31"/>
    </row>
    <row r="734">
      <c r="B734" s="138"/>
      <c r="U734" s="31"/>
    </row>
    <row r="735">
      <c r="B735" s="138"/>
      <c r="U735" s="31"/>
    </row>
    <row r="736">
      <c r="B736" s="138"/>
      <c r="U736" s="31"/>
    </row>
    <row r="737">
      <c r="B737" s="138"/>
      <c r="U737" s="31"/>
    </row>
    <row r="738">
      <c r="B738" s="138"/>
      <c r="U738" s="31"/>
    </row>
    <row r="739">
      <c r="B739" s="138"/>
      <c r="U739" s="31"/>
    </row>
    <row r="740">
      <c r="B740" s="138"/>
      <c r="U740" s="31"/>
    </row>
    <row r="741">
      <c r="B741" s="138"/>
      <c r="U741" s="31"/>
    </row>
    <row r="742">
      <c r="B742" s="138"/>
      <c r="U742" s="31"/>
    </row>
    <row r="743">
      <c r="B743" s="138"/>
      <c r="U743" s="31"/>
    </row>
    <row r="744">
      <c r="B744" s="138"/>
      <c r="U744" s="31"/>
    </row>
    <row r="745">
      <c r="B745" s="138"/>
      <c r="U745" s="31"/>
    </row>
    <row r="746">
      <c r="B746" s="138"/>
      <c r="U746" s="31"/>
    </row>
    <row r="747">
      <c r="B747" s="138"/>
      <c r="U747" s="31"/>
    </row>
    <row r="748">
      <c r="B748" s="138"/>
      <c r="U748" s="31"/>
    </row>
    <row r="749">
      <c r="B749" s="138"/>
      <c r="U749" s="31"/>
    </row>
    <row r="750">
      <c r="B750" s="138"/>
      <c r="U750" s="31"/>
    </row>
    <row r="751">
      <c r="B751" s="138"/>
      <c r="U751" s="31"/>
    </row>
    <row r="752">
      <c r="B752" s="138"/>
      <c r="U752" s="31"/>
    </row>
    <row r="753">
      <c r="B753" s="138"/>
      <c r="U753" s="31"/>
    </row>
    <row r="754">
      <c r="B754" s="138"/>
      <c r="U754" s="31"/>
    </row>
    <row r="755">
      <c r="B755" s="138"/>
      <c r="U755" s="31"/>
    </row>
    <row r="756">
      <c r="B756" s="138"/>
      <c r="U756" s="31"/>
    </row>
    <row r="757">
      <c r="B757" s="138"/>
      <c r="U757" s="31"/>
    </row>
    <row r="758">
      <c r="B758" s="138"/>
      <c r="U758" s="31"/>
    </row>
    <row r="759">
      <c r="B759" s="138"/>
      <c r="U759" s="31"/>
    </row>
    <row r="760">
      <c r="B760" s="138"/>
      <c r="U760" s="31"/>
    </row>
    <row r="761">
      <c r="B761" s="138"/>
      <c r="U761" s="31"/>
    </row>
    <row r="762">
      <c r="B762" s="138"/>
      <c r="U762" s="31"/>
    </row>
    <row r="763">
      <c r="B763" s="138"/>
      <c r="U763" s="31"/>
    </row>
    <row r="764">
      <c r="B764" s="138"/>
      <c r="U764" s="31"/>
    </row>
    <row r="765">
      <c r="B765" s="138"/>
      <c r="U765" s="31"/>
    </row>
    <row r="766">
      <c r="B766" s="138"/>
      <c r="U766" s="31"/>
    </row>
    <row r="767">
      <c r="B767" s="138"/>
      <c r="U767" s="31"/>
    </row>
    <row r="768">
      <c r="B768" s="138"/>
      <c r="U768" s="31"/>
    </row>
    <row r="769">
      <c r="B769" s="138"/>
      <c r="U769" s="31"/>
    </row>
    <row r="770">
      <c r="B770" s="138"/>
      <c r="U770" s="31"/>
    </row>
    <row r="771">
      <c r="B771" s="138"/>
      <c r="U771" s="31"/>
    </row>
    <row r="772">
      <c r="B772" s="138"/>
      <c r="U772" s="31"/>
    </row>
    <row r="773">
      <c r="B773" s="138"/>
      <c r="U773" s="31"/>
    </row>
    <row r="774">
      <c r="B774" s="138"/>
      <c r="U774" s="31"/>
    </row>
    <row r="775">
      <c r="B775" s="138"/>
      <c r="U775" s="31"/>
    </row>
    <row r="776">
      <c r="B776" s="138"/>
      <c r="U776" s="31"/>
    </row>
    <row r="777">
      <c r="B777" s="138"/>
      <c r="U777" s="31"/>
    </row>
    <row r="778">
      <c r="B778" s="138"/>
      <c r="U778" s="31"/>
    </row>
    <row r="779">
      <c r="B779" s="138"/>
      <c r="U779" s="31"/>
    </row>
    <row r="780">
      <c r="B780" s="138"/>
      <c r="U780" s="31"/>
    </row>
    <row r="781">
      <c r="B781" s="138"/>
      <c r="U781" s="31"/>
    </row>
    <row r="782">
      <c r="B782" s="138"/>
      <c r="U782" s="31"/>
    </row>
    <row r="783">
      <c r="B783" s="138"/>
      <c r="U783" s="31"/>
    </row>
    <row r="784">
      <c r="B784" s="138"/>
      <c r="U784" s="31"/>
    </row>
    <row r="785">
      <c r="B785" s="138"/>
      <c r="U785" s="31"/>
    </row>
    <row r="786">
      <c r="B786" s="138"/>
      <c r="U786" s="31"/>
    </row>
    <row r="787">
      <c r="B787" s="138"/>
      <c r="U787" s="31"/>
    </row>
    <row r="788">
      <c r="B788" s="138"/>
      <c r="U788" s="31"/>
    </row>
    <row r="789">
      <c r="B789" s="138"/>
      <c r="U789" s="31"/>
    </row>
    <row r="790">
      <c r="B790" s="138"/>
      <c r="U790" s="31"/>
    </row>
    <row r="791">
      <c r="B791" s="138"/>
      <c r="U791" s="31"/>
    </row>
    <row r="792">
      <c r="B792" s="138"/>
      <c r="U792" s="31"/>
    </row>
    <row r="793">
      <c r="B793" s="138"/>
      <c r="U793" s="31"/>
    </row>
    <row r="794">
      <c r="B794" s="138"/>
      <c r="U794" s="31"/>
    </row>
    <row r="795">
      <c r="B795" s="138"/>
      <c r="U795" s="31"/>
    </row>
    <row r="796">
      <c r="B796" s="138"/>
      <c r="U796" s="31"/>
    </row>
    <row r="797">
      <c r="B797" s="138"/>
      <c r="U797" s="31"/>
    </row>
    <row r="798">
      <c r="B798" s="138"/>
      <c r="U798" s="31"/>
    </row>
    <row r="799">
      <c r="B799" s="138"/>
      <c r="U799" s="31"/>
    </row>
    <row r="800">
      <c r="B800" s="138"/>
      <c r="U800" s="31"/>
    </row>
    <row r="801">
      <c r="B801" s="138"/>
      <c r="U801" s="31"/>
    </row>
    <row r="802">
      <c r="B802" s="138"/>
      <c r="U802" s="31"/>
    </row>
    <row r="803">
      <c r="B803" s="138"/>
      <c r="U803" s="31"/>
    </row>
    <row r="804">
      <c r="B804" s="138"/>
      <c r="U804" s="31"/>
    </row>
    <row r="805">
      <c r="B805" s="138"/>
      <c r="U805" s="31"/>
    </row>
    <row r="806">
      <c r="B806" s="138"/>
      <c r="U806" s="31"/>
    </row>
    <row r="807">
      <c r="B807" s="138"/>
      <c r="U807" s="31"/>
    </row>
    <row r="808">
      <c r="B808" s="138"/>
      <c r="U808" s="31"/>
    </row>
    <row r="809">
      <c r="B809" s="138"/>
      <c r="U809" s="31"/>
    </row>
    <row r="810">
      <c r="B810" s="138"/>
      <c r="U810" s="31"/>
    </row>
    <row r="811">
      <c r="B811" s="138"/>
      <c r="U811" s="31"/>
    </row>
    <row r="812">
      <c r="B812" s="138"/>
      <c r="U812" s="31"/>
    </row>
    <row r="813">
      <c r="B813" s="138"/>
      <c r="U813" s="31"/>
    </row>
    <row r="814">
      <c r="B814" s="138"/>
      <c r="U814" s="31"/>
    </row>
    <row r="815">
      <c r="B815" s="138"/>
      <c r="U815" s="31"/>
    </row>
    <row r="816">
      <c r="B816" s="138"/>
      <c r="U816" s="31"/>
    </row>
    <row r="817">
      <c r="B817" s="138"/>
      <c r="U817" s="31"/>
    </row>
    <row r="818">
      <c r="B818" s="138"/>
      <c r="U818" s="31"/>
    </row>
    <row r="819">
      <c r="B819" s="138"/>
      <c r="U819" s="31"/>
    </row>
    <row r="820">
      <c r="B820" s="138"/>
      <c r="U820" s="31"/>
    </row>
    <row r="821">
      <c r="B821" s="138"/>
      <c r="U821" s="31"/>
    </row>
    <row r="822">
      <c r="B822" s="138"/>
      <c r="U822" s="31"/>
    </row>
    <row r="823">
      <c r="B823" s="138"/>
      <c r="U823" s="31"/>
    </row>
    <row r="824">
      <c r="B824" s="138"/>
      <c r="U824" s="31"/>
    </row>
    <row r="825">
      <c r="B825" s="138"/>
      <c r="U825" s="31"/>
    </row>
    <row r="826">
      <c r="B826" s="138"/>
      <c r="U826" s="31"/>
    </row>
    <row r="827">
      <c r="B827" s="138"/>
      <c r="U827" s="31"/>
    </row>
    <row r="828">
      <c r="B828" s="138"/>
      <c r="U828" s="31"/>
    </row>
    <row r="829">
      <c r="B829" s="138"/>
      <c r="U829" s="31"/>
    </row>
    <row r="830">
      <c r="B830" s="138"/>
      <c r="U830" s="31"/>
    </row>
    <row r="831">
      <c r="B831" s="138"/>
      <c r="U831" s="31"/>
    </row>
    <row r="832">
      <c r="B832" s="138"/>
      <c r="U832" s="31"/>
    </row>
    <row r="833">
      <c r="B833" s="138"/>
      <c r="U833" s="31"/>
    </row>
    <row r="834">
      <c r="B834" s="138"/>
      <c r="U834" s="31"/>
    </row>
    <row r="835">
      <c r="B835" s="138"/>
      <c r="U835" s="31"/>
    </row>
    <row r="836">
      <c r="B836" s="138"/>
      <c r="U836" s="31"/>
    </row>
    <row r="837">
      <c r="B837" s="138"/>
      <c r="U837" s="31"/>
    </row>
    <row r="838">
      <c r="B838" s="138"/>
      <c r="U838" s="31"/>
    </row>
    <row r="839">
      <c r="B839" s="138"/>
      <c r="U839" s="31"/>
    </row>
    <row r="840">
      <c r="B840" s="138"/>
      <c r="U840" s="31"/>
    </row>
    <row r="841">
      <c r="B841" s="138"/>
      <c r="U841" s="31"/>
    </row>
    <row r="842">
      <c r="B842" s="138"/>
      <c r="U842" s="31"/>
    </row>
    <row r="843">
      <c r="B843" s="138"/>
      <c r="U843" s="31"/>
    </row>
    <row r="844">
      <c r="B844" s="138"/>
      <c r="U844" s="31"/>
    </row>
    <row r="845">
      <c r="B845" s="138"/>
      <c r="U845" s="31"/>
    </row>
    <row r="846">
      <c r="B846" s="138"/>
      <c r="U846" s="31"/>
    </row>
    <row r="847">
      <c r="B847" s="138"/>
      <c r="U847" s="31"/>
    </row>
    <row r="848">
      <c r="B848" s="138"/>
      <c r="U848" s="31"/>
    </row>
    <row r="849">
      <c r="B849" s="138"/>
      <c r="U849" s="31"/>
    </row>
    <row r="850">
      <c r="B850" s="138"/>
      <c r="U850" s="31"/>
    </row>
    <row r="851">
      <c r="B851" s="138"/>
      <c r="U851" s="31"/>
    </row>
    <row r="852">
      <c r="B852" s="138"/>
      <c r="U852" s="31"/>
    </row>
    <row r="853">
      <c r="B853" s="138"/>
      <c r="U853" s="31"/>
    </row>
    <row r="854">
      <c r="B854" s="138"/>
      <c r="U854" s="31"/>
    </row>
    <row r="855">
      <c r="B855" s="138"/>
      <c r="U855" s="31"/>
    </row>
    <row r="856">
      <c r="B856" s="138"/>
      <c r="U856" s="31"/>
    </row>
    <row r="857">
      <c r="B857" s="138"/>
      <c r="U857" s="31"/>
    </row>
    <row r="858">
      <c r="B858" s="138"/>
      <c r="U858" s="31"/>
    </row>
    <row r="859">
      <c r="B859" s="138"/>
      <c r="U859" s="31"/>
    </row>
    <row r="860">
      <c r="B860" s="138"/>
      <c r="U860" s="31"/>
    </row>
    <row r="861">
      <c r="B861" s="138"/>
      <c r="U861" s="31"/>
    </row>
    <row r="862">
      <c r="B862" s="138"/>
      <c r="U862" s="31"/>
    </row>
    <row r="863">
      <c r="B863" s="138"/>
      <c r="U863" s="31"/>
    </row>
    <row r="864">
      <c r="B864" s="138"/>
      <c r="U864" s="31"/>
    </row>
    <row r="865">
      <c r="B865" s="138"/>
      <c r="U865" s="31"/>
    </row>
    <row r="866">
      <c r="B866" s="138"/>
      <c r="U866" s="31"/>
    </row>
    <row r="867">
      <c r="B867" s="138"/>
      <c r="U867" s="31"/>
    </row>
    <row r="868">
      <c r="B868" s="138"/>
      <c r="U868" s="31"/>
    </row>
    <row r="869">
      <c r="B869" s="138"/>
      <c r="U869" s="31"/>
    </row>
    <row r="870">
      <c r="B870" s="138"/>
      <c r="U870" s="31"/>
    </row>
    <row r="871">
      <c r="B871" s="138"/>
      <c r="U871" s="31"/>
    </row>
    <row r="872">
      <c r="B872" s="138"/>
      <c r="U872" s="31"/>
    </row>
    <row r="873">
      <c r="B873" s="138"/>
      <c r="U873" s="31"/>
    </row>
    <row r="874">
      <c r="B874" s="138"/>
      <c r="U874" s="31"/>
    </row>
    <row r="875">
      <c r="B875" s="138"/>
      <c r="U875" s="31"/>
    </row>
    <row r="876">
      <c r="B876" s="138"/>
      <c r="U876" s="31"/>
    </row>
    <row r="877">
      <c r="B877" s="138"/>
      <c r="U877" s="31"/>
    </row>
    <row r="878">
      <c r="B878" s="138"/>
      <c r="U878" s="31"/>
    </row>
    <row r="879">
      <c r="B879" s="138"/>
      <c r="U879" s="31"/>
    </row>
    <row r="880">
      <c r="B880" s="138"/>
      <c r="U880" s="31"/>
    </row>
    <row r="881">
      <c r="B881" s="138"/>
      <c r="U881" s="31"/>
    </row>
    <row r="882">
      <c r="B882" s="138"/>
      <c r="U882" s="31"/>
    </row>
    <row r="883">
      <c r="B883" s="138"/>
      <c r="U883" s="31"/>
    </row>
    <row r="884">
      <c r="B884" s="138"/>
      <c r="U884" s="31"/>
    </row>
    <row r="885">
      <c r="B885" s="138"/>
      <c r="U885" s="31"/>
    </row>
    <row r="886">
      <c r="B886" s="138"/>
      <c r="U886" s="31"/>
    </row>
    <row r="887">
      <c r="B887" s="138"/>
      <c r="U887" s="31"/>
    </row>
    <row r="888">
      <c r="B888" s="138"/>
      <c r="U888" s="31"/>
    </row>
    <row r="889">
      <c r="B889" s="138"/>
      <c r="U889" s="31"/>
    </row>
    <row r="890">
      <c r="B890" s="138"/>
      <c r="U890" s="31"/>
    </row>
    <row r="891">
      <c r="B891" s="138"/>
      <c r="U891" s="31"/>
    </row>
    <row r="892">
      <c r="B892" s="138"/>
      <c r="U892" s="31"/>
    </row>
    <row r="893">
      <c r="B893" s="138"/>
      <c r="U893" s="31"/>
    </row>
    <row r="894">
      <c r="B894" s="138"/>
      <c r="U894" s="31"/>
    </row>
    <row r="895">
      <c r="B895" s="138"/>
      <c r="U895" s="31"/>
    </row>
    <row r="896">
      <c r="B896" s="138"/>
      <c r="U896" s="31"/>
    </row>
    <row r="897">
      <c r="B897" s="138"/>
      <c r="U897" s="31"/>
    </row>
    <row r="898">
      <c r="B898" s="138"/>
      <c r="U898" s="31"/>
    </row>
    <row r="899">
      <c r="B899" s="138"/>
      <c r="U899" s="31"/>
    </row>
    <row r="900">
      <c r="B900" s="138"/>
      <c r="U900" s="31"/>
    </row>
    <row r="901">
      <c r="B901" s="138"/>
      <c r="U901" s="31"/>
    </row>
    <row r="902">
      <c r="B902" s="138"/>
      <c r="U902" s="31"/>
    </row>
    <row r="903">
      <c r="B903" s="138"/>
      <c r="U903" s="31"/>
    </row>
    <row r="904">
      <c r="B904" s="138"/>
      <c r="U904" s="31"/>
    </row>
    <row r="905">
      <c r="B905" s="138"/>
      <c r="U905" s="31"/>
    </row>
    <row r="906">
      <c r="B906" s="138"/>
      <c r="U906" s="31"/>
    </row>
    <row r="907">
      <c r="B907" s="138"/>
      <c r="U907" s="31"/>
    </row>
    <row r="908">
      <c r="B908" s="138"/>
      <c r="U908" s="31"/>
    </row>
    <row r="909">
      <c r="B909" s="138"/>
      <c r="U909" s="31"/>
    </row>
    <row r="910">
      <c r="B910" s="138"/>
      <c r="U910" s="31"/>
    </row>
    <row r="911">
      <c r="B911" s="138"/>
      <c r="U911" s="31"/>
    </row>
    <row r="912">
      <c r="B912" s="138"/>
      <c r="U912" s="31"/>
    </row>
    <row r="913">
      <c r="B913" s="138"/>
      <c r="U913" s="31"/>
    </row>
    <row r="914">
      <c r="B914" s="138"/>
      <c r="U914" s="31"/>
    </row>
    <row r="915">
      <c r="B915" s="138"/>
      <c r="U915" s="31"/>
    </row>
    <row r="916">
      <c r="B916" s="138"/>
      <c r="U916" s="31"/>
    </row>
    <row r="917">
      <c r="B917" s="138"/>
      <c r="U917" s="31"/>
    </row>
    <row r="918">
      <c r="B918" s="138"/>
      <c r="U918" s="31"/>
    </row>
    <row r="919">
      <c r="B919" s="138"/>
      <c r="U919" s="31"/>
    </row>
    <row r="920">
      <c r="B920" s="138"/>
      <c r="U920" s="31"/>
    </row>
    <row r="921">
      <c r="B921" s="138"/>
      <c r="U921" s="31"/>
    </row>
    <row r="922">
      <c r="B922" s="138"/>
      <c r="U922" s="31"/>
    </row>
    <row r="923">
      <c r="B923" s="138"/>
      <c r="U923" s="31"/>
    </row>
    <row r="924">
      <c r="B924" s="138"/>
      <c r="U924" s="31"/>
    </row>
    <row r="925">
      <c r="B925" s="138"/>
      <c r="U925" s="31"/>
    </row>
    <row r="926">
      <c r="B926" s="138"/>
      <c r="U926" s="31"/>
    </row>
    <row r="927">
      <c r="B927" s="138"/>
      <c r="U927" s="31"/>
    </row>
    <row r="928">
      <c r="B928" s="138"/>
      <c r="U928" s="31"/>
    </row>
    <row r="929">
      <c r="B929" s="138"/>
      <c r="U929" s="31"/>
    </row>
    <row r="930">
      <c r="B930" s="138"/>
      <c r="U930" s="31"/>
    </row>
    <row r="931">
      <c r="B931" s="138"/>
      <c r="U931" s="31"/>
    </row>
    <row r="932">
      <c r="B932" s="138"/>
      <c r="U932" s="31"/>
    </row>
    <row r="933">
      <c r="B933" s="138"/>
      <c r="U933" s="31"/>
    </row>
    <row r="934">
      <c r="B934" s="138"/>
      <c r="U934" s="31"/>
    </row>
    <row r="935">
      <c r="B935" s="138"/>
      <c r="U935" s="31"/>
    </row>
    <row r="936">
      <c r="B936" s="138"/>
      <c r="U936" s="31"/>
    </row>
    <row r="937">
      <c r="B937" s="138"/>
      <c r="U937" s="31"/>
    </row>
    <row r="938">
      <c r="B938" s="138"/>
      <c r="U938" s="31"/>
    </row>
    <row r="939">
      <c r="B939" s="138"/>
      <c r="U939" s="31"/>
    </row>
    <row r="940">
      <c r="B940" s="138"/>
      <c r="U940" s="31"/>
    </row>
    <row r="941">
      <c r="B941" s="138"/>
      <c r="U941" s="31"/>
    </row>
    <row r="942">
      <c r="B942" s="138"/>
      <c r="U942" s="31"/>
    </row>
    <row r="943">
      <c r="B943" s="138"/>
      <c r="U943" s="31"/>
    </row>
    <row r="944">
      <c r="B944" s="138"/>
      <c r="U944" s="31"/>
    </row>
    <row r="945">
      <c r="B945" s="138"/>
      <c r="U945" s="31"/>
    </row>
    <row r="946">
      <c r="B946" s="138"/>
      <c r="U946" s="31"/>
    </row>
    <row r="947">
      <c r="B947" s="138"/>
      <c r="U947" s="31"/>
    </row>
    <row r="948">
      <c r="B948" s="138"/>
      <c r="U948" s="31"/>
    </row>
    <row r="949">
      <c r="B949" s="138"/>
      <c r="U949" s="31"/>
    </row>
    <row r="950">
      <c r="B950" s="138"/>
      <c r="U950" s="31"/>
    </row>
    <row r="951">
      <c r="B951" s="138"/>
      <c r="U951" s="31"/>
    </row>
    <row r="952">
      <c r="B952" s="138"/>
      <c r="U952" s="31"/>
    </row>
    <row r="953">
      <c r="B953" s="138"/>
      <c r="U953" s="31"/>
    </row>
    <row r="954">
      <c r="B954" s="138"/>
      <c r="U954" s="31"/>
    </row>
    <row r="955">
      <c r="B955" s="138"/>
      <c r="U955" s="31"/>
    </row>
    <row r="956">
      <c r="B956" s="138"/>
      <c r="U956" s="31"/>
    </row>
    <row r="957">
      <c r="B957" s="138"/>
      <c r="U957" s="31"/>
    </row>
    <row r="958">
      <c r="B958" s="138"/>
      <c r="U958" s="31"/>
    </row>
    <row r="959">
      <c r="B959" s="138"/>
      <c r="U959" s="31"/>
    </row>
    <row r="960">
      <c r="B960" s="138"/>
      <c r="U960" s="31"/>
    </row>
    <row r="961">
      <c r="B961" s="138"/>
      <c r="U961" s="31"/>
    </row>
    <row r="962">
      <c r="B962" s="138"/>
      <c r="U962" s="31"/>
    </row>
    <row r="963">
      <c r="B963" s="138"/>
      <c r="U963" s="31"/>
    </row>
    <row r="964">
      <c r="B964" s="138"/>
      <c r="U964" s="31"/>
    </row>
  </sheetData>
  <mergeCells count="16">
    <mergeCell ref="H3:I3"/>
    <mergeCell ref="J3:L3"/>
    <mergeCell ref="M3:N3"/>
    <mergeCell ref="O3:P3"/>
    <mergeCell ref="Q3:R3"/>
    <mergeCell ref="S3:U3"/>
    <mergeCell ref="V3:W3"/>
    <mergeCell ref="X3:Y3"/>
    <mergeCell ref="B2:G2"/>
    <mergeCell ref="H2:N2"/>
    <mergeCell ref="O2:U2"/>
    <mergeCell ref="V2:AA2"/>
    <mergeCell ref="B3:C3"/>
    <mergeCell ref="D3:E3"/>
    <mergeCell ref="F3:G3"/>
    <mergeCell ref="Z3:AA3"/>
  </mergeCells>
  <dataValidations>
    <dataValidation type="list" allowBlank="1" showErrorMessage="1" sqref="B31:AA31 B39:AA39">
      <formula1>"0%,100%"</formula1>
    </dataValidation>
  </dataValidation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29.75"/>
    <col customWidth="1" min="2" max="2" width="14.75"/>
    <col customWidth="1" min="5" max="5" width="14.0"/>
    <col customWidth="1" min="28" max="28" width="13.5"/>
  </cols>
  <sheetData>
    <row r="1" ht="30.0" customHeight="1">
      <c r="A1" s="1" t="s">
        <v>1402</v>
      </c>
      <c r="B1" s="2"/>
      <c r="C1" s="3"/>
      <c r="D1" s="3"/>
      <c r="E1" s="3"/>
      <c r="F1" s="3"/>
      <c r="G1" s="3"/>
      <c r="H1" s="3"/>
      <c r="I1" s="3"/>
      <c r="J1" s="3"/>
      <c r="K1" s="3"/>
      <c r="L1" s="3"/>
      <c r="M1" s="3"/>
      <c r="N1" s="3"/>
      <c r="O1" s="3"/>
      <c r="P1" s="3"/>
      <c r="Q1" s="4"/>
      <c r="R1" s="4"/>
      <c r="S1" s="4"/>
      <c r="T1" s="5"/>
      <c r="U1" s="4"/>
      <c r="V1" s="4"/>
      <c r="W1" s="4"/>
      <c r="X1" s="4"/>
      <c r="Y1" s="4"/>
      <c r="Z1" s="4"/>
      <c r="AA1" s="4"/>
      <c r="AB1" s="4"/>
      <c r="AC1" s="4"/>
      <c r="AD1" s="4"/>
      <c r="AE1" s="4"/>
      <c r="AF1" s="4"/>
      <c r="AG1" s="4"/>
      <c r="AH1" s="4"/>
      <c r="AI1" s="4"/>
      <c r="AJ1" s="4"/>
      <c r="AK1" s="4"/>
      <c r="AL1" s="4"/>
      <c r="AM1" s="4"/>
      <c r="AN1" s="4"/>
      <c r="AO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c r="AB2" s="12"/>
      <c r="AC2" s="12"/>
      <c r="AD2" s="12"/>
      <c r="AE2" s="12"/>
      <c r="AF2" s="12"/>
      <c r="AG2" s="12"/>
      <c r="AH2" s="12"/>
      <c r="AI2" s="12"/>
      <c r="AJ2" s="12"/>
      <c r="AK2" s="12"/>
      <c r="AL2" s="12"/>
      <c r="AM2" s="12"/>
      <c r="AN2" s="12"/>
      <c r="AO2" s="12"/>
    </row>
    <row r="3">
      <c r="A3" s="6" t="s">
        <v>6</v>
      </c>
      <c r="B3" s="13" t="s">
        <v>7</v>
      </c>
      <c r="C3" s="14"/>
      <c r="D3" s="13" t="s">
        <v>8</v>
      </c>
      <c r="E3" s="14"/>
      <c r="F3" s="10" t="s">
        <v>9</v>
      </c>
      <c r="G3" s="9"/>
      <c r="H3" s="15" t="s">
        <v>10</v>
      </c>
      <c r="I3" s="9"/>
      <c r="J3" s="10" t="s">
        <v>11</v>
      </c>
      <c r="K3" s="8"/>
      <c r="L3" s="9"/>
      <c r="M3" s="469" t="s">
        <v>12</v>
      </c>
      <c r="N3" s="9"/>
      <c r="O3" s="10" t="s">
        <v>13</v>
      </c>
      <c r="P3" s="9"/>
      <c r="Q3" s="15" t="s">
        <v>14</v>
      </c>
      <c r="R3" s="9"/>
      <c r="S3" s="10" t="s">
        <v>15</v>
      </c>
      <c r="T3" s="9"/>
      <c r="U3" s="17" t="s">
        <v>16</v>
      </c>
      <c r="V3" s="9"/>
      <c r="W3" s="10" t="s">
        <v>17</v>
      </c>
      <c r="X3" s="8"/>
      <c r="Y3" s="9"/>
      <c r="Z3" s="16" t="s">
        <v>18</v>
      </c>
      <c r="AA3" s="9"/>
      <c r="AB3" s="12"/>
      <c r="AC3" s="12"/>
      <c r="AD3" s="12"/>
      <c r="AE3" s="12"/>
      <c r="AF3" s="12"/>
      <c r="AG3" s="12"/>
      <c r="AH3" s="12"/>
      <c r="AI3" s="12"/>
      <c r="AJ3" s="12"/>
      <c r="AK3" s="12"/>
      <c r="AL3" s="12"/>
      <c r="AM3" s="12"/>
      <c r="AN3" s="12"/>
      <c r="AO3" s="12"/>
    </row>
    <row r="4">
      <c r="A4" s="6" t="s">
        <v>19</v>
      </c>
      <c r="B4" s="18" t="s">
        <v>1403</v>
      </c>
      <c r="C4" s="18" t="s">
        <v>1404</v>
      </c>
      <c r="D4" s="18" t="s">
        <v>1405</v>
      </c>
      <c r="E4" s="18" t="s">
        <v>1406</v>
      </c>
      <c r="F4" s="18" t="s">
        <v>1407</v>
      </c>
      <c r="G4" s="18" t="s">
        <v>1408</v>
      </c>
      <c r="H4" s="470" t="s">
        <v>1409</v>
      </c>
      <c r="I4" s="470" t="s">
        <v>1410</v>
      </c>
      <c r="J4" s="470" t="s">
        <v>1411</v>
      </c>
      <c r="K4" s="470" t="s">
        <v>1412</v>
      </c>
      <c r="L4" s="470" t="s">
        <v>1413</v>
      </c>
      <c r="M4" s="470" t="s">
        <v>1414</v>
      </c>
      <c r="N4" s="470" t="s">
        <v>1415</v>
      </c>
      <c r="O4" s="470" t="s">
        <v>1416</v>
      </c>
      <c r="P4" s="470" t="s">
        <v>1417</v>
      </c>
      <c r="Q4" s="470" t="s">
        <v>1418</v>
      </c>
      <c r="R4" s="19" t="s">
        <v>1419</v>
      </c>
      <c r="S4" s="19" t="s">
        <v>1420</v>
      </c>
      <c r="T4" s="19" t="s">
        <v>1421</v>
      </c>
      <c r="U4" s="20" t="s">
        <v>1422</v>
      </c>
      <c r="V4" s="19"/>
      <c r="W4" s="19"/>
      <c r="X4" s="19"/>
      <c r="Y4" s="19"/>
      <c r="Z4" s="19"/>
      <c r="AA4" s="21"/>
      <c r="AB4" s="12"/>
      <c r="AC4" s="12"/>
      <c r="AD4" s="12"/>
      <c r="AE4" s="12"/>
      <c r="AF4" s="12"/>
      <c r="AG4" s="12"/>
      <c r="AH4" s="12"/>
      <c r="AI4" s="12"/>
      <c r="AJ4" s="12"/>
      <c r="AK4" s="12"/>
      <c r="AL4" s="12"/>
      <c r="AM4" s="12"/>
      <c r="AN4" s="12"/>
      <c r="AO4" s="12"/>
    </row>
    <row r="5">
      <c r="A5" s="22" t="s">
        <v>20</v>
      </c>
      <c r="B5" s="18" t="s">
        <v>1423</v>
      </c>
      <c r="C5" s="18" t="s">
        <v>1424</v>
      </c>
      <c r="D5" s="23" t="s">
        <v>1425</v>
      </c>
      <c r="E5" s="23" t="s">
        <v>1426</v>
      </c>
      <c r="F5" s="23" t="s">
        <v>1427</v>
      </c>
      <c r="G5" s="23" t="s">
        <v>1428</v>
      </c>
      <c r="H5" s="23" t="s">
        <v>1429</v>
      </c>
      <c r="I5" s="23" t="s">
        <v>1430</v>
      </c>
      <c r="J5" s="23" t="s">
        <v>1431</v>
      </c>
      <c r="K5" s="23" t="s">
        <v>1432</v>
      </c>
      <c r="L5" s="23" t="s">
        <v>1433</v>
      </c>
      <c r="M5" s="24" t="s">
        <v>1434</v>
      </c>
      <c r="N5" s="24" t="s">
        <v>1435</v>
      </c>
      <c r="O5" s="25" t="s">
        <v>1436</v>
      </c>
      <c r="P5" s="25" t="s">
        <v>1437</v>
      </c>
      <c r="Q5" s="25" t="s">
        <v>1438</v>
      </c>
      <c r="R5" s="25" t="s">
        <v>1439</v>
      </c>
      <c r="S5" s="25" t="s">
        <v>1440</v>
      </c>
      <c r="T5" s="25" t="s">
        <v>1441</v>
      </c>
      <c r="U5" s="26" t="s">
        <v>1442</v>
      </c>
      <c r="V5" s="25"/>
      <c r="W5" s="24"/>
      <c r="X5" s="24"/>
      <c r="Y5" s="24"/>
      <c r="Z5" s="25"/>
      <c r="AA5" s="25"/>
      <c r="AB5" s="27"/>
      <c r="AC5" s="28"/>
      <c r="AD5" s="28"/>
      <c r="AE5" s="28"/>
      <c r="AF5" s="28"/>
      <c r="AG5" s="28"/>
      <c r="AH5" s="28"/>
      <c r="AI5" s="28"/>
      <c r="AJ5" s="28"/>
      <c r="AK5" s="28"/>
      <c r="AL5" s="28"/>
      <c r="AM5" s="28"/>
      <c r="AN5" s="28"/>
      <c r="AO5" s="28"/>
    </row>
    <row r="6">
      <c r="A6" s="29"/>
      <c r="B6" s="30"/>
      <c r="U6" s="31"/>
    </row>
    <row r="7">
      <c r="A7" s="32" t="s">
        <v>21</v>
      </c>
      <c r="B7" s="33">
        <v>347.0</v>
      </c>
      <c r="C7" s="34">
        <f>545-94</f>
        <v>451</v>
      </c>
      <c r="D7" s="34">
        <f>511-95</f>
        <v>416</v>
      </c>
      <c r="E7" s="34">
        <v>445.0</v>
      </c>
      <c r="F7" s="34">
        <v>620.0</v>
      </c>
      <c r="G7" s="34">
        <v>594.0</v>
      </c>
      <c r="H7" s="34">
        <v>386.0</v>
      </c>
      <c r="I7" s="34">
        <v>264.0</v>
      </c>
      <c r="J7" s="34">
        <v>449.0</v>
      </c>
      <c r="K7" s="34">
        <v>418.0</v>
      </c>
      <c r="L7" s="34">
        <v>411.0</v>
      </c>
      <c r="M7" s="34">
        <v>414.0</v>
      </c>
      <c r="N7" s="34">
        <v>234.0</v>
      </c>
      <c r="O7" s="34">
        <v>460.0</v>
      </c>
      <c r="P7" s="34">
        <v>502.0</v>
      </c>
      <c r="Q7" s="34">
        <v>469.0</v>
      </c>
      <c r="R7" s="34">
        <v>345.0</v>
      </c>
      <c r="S7" s="34">
        <v>490.0</v>
      </c>
      <c r="T7" s="35">
        <v>546.0</v>
      </c>
      <c r="U7" s="36">
        <v>511.0</v>
      </c>
      <c r="V7" s="34">
        <v>541.0</v>
      </c>
      <c r="W7" s="34"/>
      <c r="X7" s="34"/>
      <c r="Y7" s="34"/>
      <c r="Z7" s="34"/>
      <c r="AA7" s="34"/>
    </row>
    <row r="8">
      <c r="A8" s="37" t="s">
        <v>22</v>
      </c>
      <c r="B8" s="38">
        <v>328.0</v>
      </c>
      <c r="C8" s="39">
        <v>401.0</v>
      </c>
      <c r="D8" s="39">
        <f>450-95</f>
        <v>355</v>
      </c>
      <c r="E8" s="39">
        <f>502-99</f>
        <v>403</v>
      </c>
      <c r="F8" s="39">
        <v>436.0</v>
      </c>
      <c r="G8" s="39">
        <v>442.0</v>
      </c>
      <c r="H8" s="39">
        <v>321.0</v>
      </c>
      <c r="I8" s="39">
        <v>242.0</v>
      </c>
      <c r="J8" s="39">
        <f>516-95</f>
        <v>421</v>
      </c>
      <c r="K8" s="39">
        <v>350.0</v>
      </c>
      <c r="L8" s="39">
        <v>371.0</v>
      </c>
      <c r="M8" s="39">
        <v>357.0</v>
      </c>
      <c r="N8" s="39">
        <v>184.0</v>
      </c>
      <c r="O8" s="39">
        <v>422.0</v>
      </c>
      <c r="P8" s="39">
        <v>431.0</v>
      </c>
      <c r="Q8" s="39">
        <v>407.0</v>
      </c>
      <c r="R8" s="39">
        <v>308.0</v>
      </c>
      <c r="S8" s="39">
        <v>405.0</v>
      </c>
      <c r="T8" s="40">
        <v>450.0</v>
      </c>
      <c r="U8" s="41">
        <v>430.0</v>
      </c>
      <c r="V8" s="39">
        <v>482.0</v>
      </c>
      <c r="W8" s="39"/>
      <c r="X8" s="39"/>
      <c r="Y8" s="39"/>
      <c r="Z8" s="39"/>
      <c r="AA8" s="39"/>
    </row>
    <row r="9">
      <c r="A9" s="37" t="s">
        <v>23</v>
      </c>
      <c r="B9" s="38">
        <v>19.0</v>
      </c>
      <c r="C9" s="39">
        <v>52.0</v>
      </c>
      <c r="D9" s="39">
        <v>38.0</v>
      </c>
      <c r="E9" s="39">
        <v>38.0</v>
      </c>
      <c r="F9" s="39">
        <v>92.0</v>
      </c>
      <c r="G9" s="39">
        <v>58.0</v>
      </c>
      <c r="H9" s="39">
        <v>65.0</v>
      </c>
      <c r="I9" s="39">
        <v>22.0</v>
      </c>
      <c r="J9" s="39">
        <f>J7-J8</f>
        <v>28</v>
      </c>
      <c r="K9" s="39">
        <v>68.0</v>
      </c>
      <c r="L9" s="39">
        <v>40.0</v>
      </c>
      <c r="M9" s="39">
        <v>47.0</v>
      </c>
      <c r="N9" s="39">
        <v>50.0</v>
      </c>
      <c r="O9" s="39">
        <v>35.0</v>
      </c>
      <c r="P9" s="39">
        <f>488-431</f>
        <v>57</v>
      </c>
      <c r="Q9" s="39">
        <v>62.0</v>
      </c>
      <c r="R9" s="39">
        <v>37.0</v>
      </c>
      <c r="S9" s="39">
        <v>85.0</v>
      </c>
      <c r="T9" s="40">
        <f>(T7-T8)</f>
        <v>96</v>
      </c>
      <c r="U9" s="41">
        <v>81.0</v>
      </c>
      <c r="V9" s="39">
        <f>541-482</f>
        <v>59</v>
      </c>
      <c r="W9" s="38"/>
      <c r="X9" s="38"/>
      <c r="Y9" s="39"/>
      <c r="Z9" s="38"/>
      <c r="AA9" s="39"/>
    </row>
    <row r="10">
      <c r="A10" s="37" t="s">
        <v>1362</v>
      </c>
      <c r="B10" s="38">
        <v>16.0</v>
      </c>
      <c r="C10" s="39">
        <v>44.0</v>
      </c>
      <c r="D10" s="39">
        <v>15.0</v>
      </c>
      <c r="E10" s="39">
        <v>27.0</v>
      </c>
      <c r="F10" s="39">
        <v>89.0</v>
      </c>
      <c r="G10" s="39">
        <v>53.0</v>
      </c>
      <c r="H10" s="39">
        <v>50.0</v>
      </c>
      <c r="I10" s="39">
        <v>6.0</v>
      </c>
      <c r="J10" s="39"/>
      <c r="K10" s="39">
        <v>62.0</v>
      </c>
      <c r="L10" s="39">
        <v>13.0</v>
      </c>
      <c r="M10" s="39">
        <v>12.0</v>
      </c>
      <c r="N10" s="39">
        <v>24.0</v>
      </c>
      <c r="O10" s="39">
        <v>16.0</v>
      </c>
      <c r="P10" s="39">
        <v>26.0</v>
      </c>
      <c r="Q10" s="39">
        <v>52.0</v>
      </c>
      <c r="R10" s="39">
        <v>22.0</v>
      </c>
      <c r="S10" s="39">
        <v>64.0</v>
      </c>
      <c r="T10" s="40">
        <f>(T9-T21)</f>
        <v>77</v>
      </c>
      <c r="U10" s="41">
        <v>57.0</v>
      </c>
      <c r="V10" s="39">
        <v>24.0</v>
      </c>
      <c r="W10" s="39"/>
      <c r="X10" s="39"/>
      <c r="Y10" s="39"/>
      <c r="Z10" s="39"/>
      <c r="AA10" s="39"/>
    </row>
    <row r="11">
      <c r="A11" s="42" t="s">
        <v>24</v>
      </c>
      <c r="B11" s="43">
        <f t="shared" ref="B11:AA11" si="1">IFERROR(B9/B7, 0)</f>
        <v>0.05475504323</v>
      </c>
      <c r="C11" s="43">
        <f t="shared" si="1"/>
        <v>0.1152993348</v>
      </c>
      <c r="D11" s="43">
        <f t="shared" si="1"/>
        <v>0.09134615385</v>
      </c>
      <c r="E11" s="43">
        <f t="shared" si="1"/>
        <v>0.08539325843</v>
      </c>
      <c r="F11" s="43">
        <f t="shared" si="1"/>
        <v>0.1483870968</v>
      </c>
      <c r="G11" s="43">
        <f t="shared" si="1"/>
        <v>0.09764309764</v>
      </c>
      <c r="H11" s="43">
        <f t="shared" si="1"/>
        <v>0.1683937824</v>
      </c>
      <c r="I11" s="43">
        <f t="shared" si="1"/>
        <v>0.08333333333</v>
      </c>
      <c r="J11" s="43">
        <f t="shared" si="1"/>
        <v>0.06236080178</v>
      </c>
      <c r="K11" s="43">
        <f t="shared" si="1"/>
        <v>0.1626794258</v>
      </c>
      <c r="L11" s="43">
        <f t="shared" si="1"/>
        <v>0.09732360097</v>
      </c>
      <c r="M11" s="43">
        <f t="shared" si="1"/>
        <v>0.11352657</v>
      </c>
      <c r="N11" s="43">
        <f t="shared" si="1"/>
        <v>0.2136752137</v>
      </c>
      <c r="O11" s="43">
        <f t="shared" si="1"/>
        <v>0.07608695652</v>
      </c>
      <c r="P11" s="43">
        <f t="shared" si="1"/>
        <v>0.1135458167</v>
      </c>
      <c r="Q11" s="43">
        <f t="shared" si="1"/>
        <v>0.132196162</v>
      </c>
      <c r="R11" s="43">
        <f t="shared" si="1"/>
        <v>0.1072463768</v>
      </c>
      <c r="S11" s="43">
        <f t="shared" si="1"/>
        <v>0.1734693878</v>
      </c>
      <c r="T11" s="43">
        <f t="shared" si="1"/>
        <v>0.1758241758</v>
      </c>
      <c r="U11" s="43">
        <f t="shared" si="1"/>
        <v>0.1585127202</v>
      </c>
      <c r="V11" s="43">
        <f t="shared" si="1"/>
        <v>0.1090573013</v>
      </c>
      <c r="W11" s="43">
        <f t="shared" si="1"/>
        <v>0</v>
      </c>
      <c r="X11" s="43">
        <f t="shared" si="1"/>
        <v>0</v>
      </c>
      <c r="Y11" s="43">
        <f t="shared" si="1"/>
        <v>0</v>
      </c>
      <c r="Z11" s="43">
        <f t="shared" si="1"/>
        <v>0</v>
      </c>
      <c r="AA11" s="43">
        <f t="shared" si="1"/>
        <v>0</v>
      </c>
    </row>
    <row r="12">
      <c r="A12" s="789"/>
      <c r="B12" s="46"/>
      <c r="C12" s="40"/>
      <c r="D12" s="40"/>
      <c r="E12" s="40"/>
      <c r="F12" s="40"/>
      <c r="G12" s="40"/>
      <c r="H12" s="40"/>
      <c r="I12" s="40"/>
      <c r="J12" s="40"/>
      <c r="K12" s="40"/>
      <c r="L12" s="40"/>
      <c r="M12" s="40"/>
      <c r="N12" s="40"/>
      <c r="O12" s="40"/>
      <c r="P12" s="40"/>
      <c r="Q12" s="40"/>
      <c r="R12" s="40"/>
      <c r="S12" s="40"/>
      <c r="T12" s="40"/>
      <c r="U12" s="47"/>
      <c r="V12" s="40"/>
      <c r="W12" s="40"/>
      <c r="X12" s="40"/>
      <c r="Y12" s="40"/>
      <c r="Z12" s="40"/>
      <c r="AA12" s="40"/>
    </row>
    <row r="13">
      <c r="A13" s="779" t="s">
        <v>1363</v>
      </c>
      <c r="B13" s="33">
        <v>96.0</v>
      </c>
      <c r="C13" s="34">
        <v>94.0</v>
      </c>
      <c r="D13" s="33">
        <v>95.0</v>
      </c>
      <c r="E13" s="34">
        <v>99.0</v>
      </c>
      <c r="F13" s="33">
        <v>110.0</v>
      </c>
      <c r="G13" s="34">
        <v>99.0</v>
      </c>
      <c r="H13" s="33">
        <v>105.0</v>
      </c>
      <c r="I13" s="33">
        <v>41.0</v>
      </c>
      <c r="J13" s="34">
        <v>95.0</v>
      </c>
      <c r="K13" s="33">
        <v>76.0</v>
      </c>
      <c r="L13" s="34">
        <v>73.0</v>
      </c>
      <c r="M13" s="38">
        <v>53.0</v>
      </c>
      <c r="N13" s="34">
        <v>21.0</v>
      </c>
      <c r="O13" s="33">
        <v>31.0</v>
      </c>
      <c r="P13" s="34">
        <v>39.0</v>
      </c>
      <c r="Q13" s="33">
        <v>37.0</v>
      </c>
      <c r="R13" s="34">
        <v>0.0</v>
      </c>
      <c r="S13" s="33">
        <v>32.0</v>
      </c>
      <c r="T13" s="51">
        <v>34.0</v>
      </c>
      <c r="U13" s="52">
        <v>0.0</v>
      </c>
      <c r="V13" s="34">
        <v>0.0</v>
      </c>
      <c r="W13" s="33"/>
      <c r="X13" s="33"/>
      <c r="Y13" s="34"/>
      <c r="Z13" s="33"/>
      <c r="AA13" s="34"/>
    </row>
    <row r="14">
      <c r="A14" s="780" t="s">
        <v>1364</v>
      </c>
      <c r="B14" s="38">
        <v>96.0</v>
      </c>
      <c r="C14" s="39">
        <v>94.0</v>
      </c>
      <c r="D14" s="38">
        <v>95.0</v>
      </c>
      <c r="E14" s="39">
        <v>99.0</v>
      </c>
      <c r="F14" s="38">
        <v>109.0</v>
      </c>
      <c r="G14" s="39">
        <v>99.0</v>
      </c>
      <c r="H14" s="38">
        <v>105.0</v>
      </c>
      <c r="I14" s="38">
        <v>41.0</v>
      </c>
      <c r="J14" s="39">
        <v>95.0</v>
      </c>
      <c r="K14" s="38">
        <v>76.0</v>
      </c>
      <c r="L14" s="39">
        <v>68.0</v>
      </c>
      <c r="M14" s="38">
        <v>53.0</v>
      </c>
      <c r="N14" s="39">
        <v>21.0</v>
      </c>
      <c r="O14" s="38">
        <v>31.0</v>
      </c>
      <c r="P14" s="39">
        <v>39.0</v>
      </c>
      <c r="Q14" s="38">
        <v>37.0</v>
      </c>
      <c r="R14" s="39">
        <v>0.0</v>
      </c>
      <c r="S14" s="38">
        <v>32.0</v>
      </c>
      <c r="T14" s="56">
        <v>34.0</v>
      </c>
      <c r="U14" s="57">
        <v>0.0</v>
      </c>
      <c r="V14" s="39">
        <v>0.0</v>
      </c>
      <c r="W14" s="38"/>
      <c r="X14" s="38"/>
      <c r="Y14" s="39"/>
      <c r="Z14" s="38"/>
      <c r="AA14" s="39"/>
    </row>
    <row r="15">
      <c r="A15" s="780" t="s">
        <v>1365</v>
      </c>
      <c r="B15" s="38">
        <v>96.0</v>
      </c>
      <c r="C15" s="39">
        <v>94.0</v>
      </c>
      <c r="D15" s="38">
        <v>95.0</v>
      </c>
      <c r="E15" s="39">
        <v>99.0</v>
      </c>
      <c r="F15" s="38">
        <v>102.0</v>
      </c>
      <c r="G15" s="39">
        <v>99.0</v>
      </c>
      <c r="H15" s="38">
        <v>105.0</v>
      </c>
      <c r="I15" s="38">
        <v>41.0</v>
      </c>
      <c r="J15" s="39">
        <v>72.0</v>
      </c>
      <c r="K15" s="38">
        <v>76.0</v>
      </c>
      <c r="L15" s="39">
        <v>73.0</v>
      </c>
      <c r="M15" s="38">
        <v>53.0</v>
      </c>
      <c r="N15" s="39">
        <v>8.0</v>
      </c>
      <c r="O15" s="38">
        <v>31.0</v>
      </c>
      <c r="P15" s="39">
        <v>39.0</v>
      </c>
      <c r="Q15" s="38">
        <v>37.0</v>
      </c>
      <c r="R15" s="39">
        <v>0.0</v>
      </c>
      <c r="S15" s="38">
        <v>11.0</v>
      </c>
      <c r="T15" s="56">
        <v>34.0</v>
      </c>
      <c r="U15" s="57">
        <v>0.0</v>
      </c>
      <c r="V15" s="39">
        <v>0.0</v>
      </c>
      <c r="W15" s="38"/>
      <c r="X15" s="38"/>
      <c r="Y15" s="39"/>
      <c r="Z15" s="38"/>
      <c r="AA15" s="39"/>
    </row>
    <row r="16">
      <c r="A16" s="780" t="s">
        <v>1366</v>
      </c>
      <c r="B16" s="781">
        <f t="shared" ref="B16:Q16" si="2">(B15/B14)</f>
        <v>1</v>
      </c>
      <c r="C16" s="781">
        <f t="shared" si="2"/>
        <v>1</v>
      </c>
      <c r="D16" s="781">
        <f t="shared" si="2"/>
        <v>1</v>
      </c>
      <c r="E16" s="781">
        <f t="shared" si="2"/>
        <v>1</v>
      </c>
      <c r="F16" s="781">
        <f t="shared" si="2"/>
        <v>0.9357798165</v>
      </c>
      <c r="G16" s="781">
        <f t="shared" si="2"/>
        <v>1</v>
      </c>
      <c r="H16" s="781">
        <f t="shared" si="2"/>
        <v>1</v>
      </c>
      <c r="I16" s="781">
        <f t="shared" si="2"/>
        <v>1</v>
      </c>
      <c r="J16" s="781">
        <f t="shared" si="2"/>
        <v>0.7578947368</v>
      </c>
      <c r="K16" s="781">
        <f t="shared" si="2"/>
        <v>1</v>
      </c>
      <c r="L16" s="781">
        <f t="shared" si="2"/>
        <v>1.073529412</v>
      </c>
      <c r="M16" s="781">
        <f t="shared" si="2"/>
        <v>1</v>
      </c>
      <c r="N16" s="781">
        <f t="shared" si="2"/>
        <v>0.380952381</v>
      </c>
      <c r="O16" s="781">
        <f t="shared" si="2"/>
        <v>1</v>
      </c>
      <c r="P16" s="781">
        <f t="shared" si="2"/>
        <v>1</v>
      </c>
      <c r="Q16" s="781">
        <f t="shared" si="2"/>
        <v>1</v>
      </c>
      <c r="R16" s="781">
        <v>0.0</v>
      </c>
      <c r="S16" s="781">
        <f t="shared" ref="S16:T16" si="3">(S15/S14)</f>
        <v>0.34375</v>
      </c>
      <c r="T16" s="781">
        <f t="shared" si="3"/>
        <v>1</v>
      </c>
      <c r="U16" s="57">
        <v>0.0</v>
      </c>
      <c r="V16" s="781">
        <v>0.0</v>
      </c>
      <c r="W16" s="781"/>
      <c r="X16" s="781"/>
      <c r="Y16" s="781"/>
      <c r="Z16" s="781"/>
      <c r="AA16" s="781"/>
    </row>
    <row r="17" ht="15.0" customHeight="1">
      <c r="A17" s="783" t="s">
        <v>1367</v>
      </c>
      <c r="B17" s="784"/>
      <c r="C17" s="784"/>
      <c r="D17" s="784"/>
      <c r="E17" s="785">
        <f>50/E29</f>
        <v>0.1366120219</v>
      </c>
      <c r="F17" s="785">
        <f>5/F29</f>
        <v>0.01228501229</v>
      </c>
      <c r="G17" s="785">
        <f>52/G29</f>
        <v>0.1259079903</v>
      </c>
      <c r="H17" s="784">
        <f>33/H29</f>
        <v>0.1240601504</v>
      </c>
      <c r="I17" s="784">
        <f>52/I29</f>
        <v>0.2708333333</v>
      </c>
      <c r="J17" s="784">
        <f>110/J29</f>
        <v>0.2925531915</v>
      </c>
      <c r="K17" s="784">
        <f>65/330</f>
        <v>0.196969697</v>
      </c>
      <c r="L17" s="784">
        <f>97/340</f>
        <v>0.2852941176</v>
      </c>
      <c r="M17" s="784">
        <f>47/324</f>
        <v>0.1450617284</v>
      </c>
      <c r="N17" s="784">
        <f>38/171</f>
        <v>0.2222222222</v>
      </c>
      <c r="O17" s="784">
        <f>109/301</f>
        <v>0.3621262458</v>
      </c>
      <c r="P17" s="784">
        <f>70/353</f>
        <v>0.1983002833</v>
      </c>
      <c r="Q17" s="784">
        <f>81/367</f>
        <v>0.2207084469</v>
      </c>
      <c r="R17" s="784">
        <f>6/282</f>
        <v>0.02127659574</v>
      </c>
      <c r="S17" s="784">
        <f>34/368</f>
        <v>0.09239130435</v>
      </c>
      <c r="T17" s="790">
        <f>(34/423)</f>
        <v>0.08037825059</v>
      </c>
      <c r="U17" s="791">
        <f>(75/396)</f>
        <v>0.1893939394</v>
      </c>
      <c r="V17" s="784"/>
      <c r="W17" s="784"/>
      <c r="X17" s="784"/>
      <c r="Y17" s="784"/>
      <c r="Z17" s="784"/>
      <c r="AA17" s="784"/>
      <c r="AB17" s="786"/>
      <c r="AC17" s="786"/>
      <c r="AD17" s="786"/>
      <c r="AE17" s="786"/>
      <c r="AF17" s="786"/>
      <c r="AG17" s="786"/>
      <c r="AH17" s="786"/>
      <c r="AI17" s="786"/>
      <c r="AJ17" s="786"/>
      <c r="AK17" s="786"/>
      <c r="AL17" s="786"/>
      <c r="AM17" s="786"/>
      <c r="AN17" s="786"/>
    </row>
    <row r="18">
      <c r="A18" s="175"/>
      <c r="B18" s="46"/>
      <c r="C18" s="40"/>
      <c r="D18" s="40"/>
      <c r="E18" s="40"/>
      <c r="F18" s="40"/>
      <c r="G18" s="40"/>
      <c r="H18" s="40"/>
      <c r="I18" s="40"/>
      <c r="J18" s="40"/>
      <c r="K18" s="40"/>
      <c r="L18" s="40"/>
      <c r="M18" s="40"/>
      <c r="N18" s="40"/>
      <c r="O18" s="40"/>
      <c r="P18" s="40"/>
      <c r="Q18" s="40"/>
      <c r="R18" s="40"/>
      <c r="S18" s="40"/>
      <c r="T18" s="40"/>
      <c r="U18" s="47"/>
      <c r="V18" s="40"/>
      <c r="W18" s="40"/>
      <c r="X18" s="40"/>
      <c r="Y18" s="40"/>
      <c r="Z18" s="40"/>
      <c r="AA18" s="40"/>
    </row>
    <row r="19">
      <c r="A19" s="48" t="s">
        <v>25</v>
      </c>
      <c r="B19" s="49">
        <v>41.0</v>
      </c>
      <c r="C19" s="50">
        <v>34.0</v>
      </c>
      <c r="D19" s="50">
        <v>81.0</v>
      </c>
      <c r="E19" s="50">
        <v>69.0</v>
      </c>
      <c r="F19" s="50">
        <v>63.0</v>
      </c>
      <c r="G19" s="50">
        <v>68.0</v>
      </c>
      <c r="H19" s="50">
        <v>69.0</v>
      </c>
      <c r="I19" s="50">
        <v>52.0</v>
      </c>
      <c r="J19" s="50">
        <v>54.0</v>
      </c>
      <c r="K19" s="50">
        <v>38.0</v>
      </c>
      <c r="L19" s="50">
        <v>77.0</v>
      </c>
      <c r="M19" s="50">
        <v>95.0</v>
      </c>
      <c r="N19" s="50">
        <v>42.0</v>
      </c>
      <c r="O19" s="50">
        <v>69.0</v>
      </c>
      <c r="P19" s="50">
        <v>66.0</v>
      </c>
      <c r="Q19" s="50">
        <v>61.0</v>
      </c>
      <c r="R19" s="50">
        <v>49.0</v>
      </c>
      <c r="S19" s="50">
        <v>95.0</v>
      </c>
      <c r="T19" s="51">
        <v>77.0</v>
      </c>
      <c r="U19" s="52">
        <v>80.0</v>
      </c>
      <c r="V19" s="50">
        <v>56.0</v>
      </c>
      <c r="W19" s="50"/>
      <c r="X19" s="50"/>
      <c r="Y19" s="50"/>
      <c r="Z19" s="50"/>
      <c r="AA19" s="50"/>
    </row>
    <row r="20">
      <c r="A20" s="53" t="s">
        <v>26</v>
      </c>
      <c r="B20" s="54">
        <v>56.0</v>
      </c>
      <c r="C20" s="55">
        <v>35.0</v>
      </c>
      <c r="D20" s="55">
        <v>67.0</v>
      </c>
      <c r="E20" s="55">
        <v>58.0</v>
      </c>
      <c r="F20" s="55">
        <v>56.0</v>
      </c>
      <c r="G20" s="55">
        <v>82.0</v>
      </c>
      <c r="H20" s="55">
        <v>57.0</v>
      </c>
      <c r="I20" s="55">
        <v>38.0</v>
      </c>
      <c r="J20" s="55">
        <v>55.0</v>
      </c>
      <c r="K20" s="55">
        <v>33.0</v>
      </c>
      <c r="L20" s="55">
        <v>63.0</v>
      </c>
      <c r="M20" s="55">
        <v>60.0</v>
      </c>
      <c r="N20" s="55">
        <v>34.0</v>
      </c>
      <c r="O20" s="55">
        <v>50.0</v>
      </c>
      <c r="P20" s="55">
        <v>44.0</v>
      </c>
      <c r="Q20" s="55">
        <v>59.0</v>
      </c>
      <c r="R20" s="55">
        <v>37.0</v>
      </c>
      <c r="S20" s="55">
        <v>82.0</v>
      </c>
      <c r="T20" s="56">
        <v>68.0</v>
      </c>
      <c r="U20" s="57">
        <v>59.0</v>
      </c>
      <c r="V20" s="55">
        <v>50.0</v>
      </c>
      <c r="W20" s="55"/>
      <c r="X20" s="55"/>
      <c r="Y20" s="55"/>
      <c r="Z20" s="55"/>
      <c r="AA20" s="55"/>
    </row>
    <row r="21">
      <c r="A21" s="58" t="s">
        <v>27</v>
      </c>
      <c r="B21" s="59">
        <v>3.0</v>
      </c>
      <c r="C21" s="60">
        <v>9.0</v>
      </c>
      <c r="D21" s="60">
        <v>23.0</v>
      </c>
      <c r="E21" s="60">
        <v>11.0</v>
      </c>
      <c r="F21" s="60">
        <v>13.0</v>
      </c>
      <c r="G21" s="60">
        <v>5.0</v>
      </c>
      <c r="H21" s="60">
        <v>15.0</v>
      </c>
      <c r="I21" s="60">
        <v>16.0</v>
      </c>
      <c r="J21" s="60">
        <v>18.0</v>
      </c>
      <c r="K21" s="60">
        <v>6.0</v>
      </c>
      <c r="L21" s="60">
        <v>27.0</v>
      </c>
      <c r="M21" s="60">
        <v>35.0</v>
      </c>
      <c r="N21" s="60">
        <v>26.0</v>
      </c>
      <c r="O21" s="60">
        <v>19.0</v>
      </c>
      <c r="P21" s="60">
        <v>31.0</v>
      </c>
      <c r="Q21" s="60">
        <v>10.0</v>
      </c>
      <c r="R21" s="60">
        <v>15.0</v>
      </c>
      <c r="S21" s="60">
        <v>21.0</v>
      </c>
      <c r="T21" s="61">
        <f>87-68</f>
        <v>19</v>
      </c>
      <c r="U21" s="62">
        <v>24.0</v>
      </c>
      <c r="V21" s="60">
        <v>35.0</v>
      </c>
      <c r="W21" s="60"/>
      <c r="X21" s="60"/>
      <c r="Y21" s="60"/>
      <c r="Z21" s="60"/>
      <c r="AA21" s="60"/>
    </row>
    <row r="22">
      <c r="A22" s="56"/>
      <c r="B22" s="63"/>
      <c r="C22" s="56"/>
      <c r="D22" s="56"/>
      <c r="E22" s="56"/>
      <c r="F22" s="56"/>
      <c r="G22" s="56"/>
      <c r="H22" s="56"/>
      <c r="I22" s="56"/>
      <c r="J22" s="56"/>
      <c r="K22" s="56"/>
      <c r="L22" s="56"/>
      <c r="M22" s="56"/>
      <c r="N22" s="56"/>
      <c r="O22" s="56"/>
      <c r="P22" s="56"/>
      <c r="Q22" s="56"/>
      <c r="R22" s="56"/>
      <c r="S22" s="56"/>
      <c r="T22" s="56"/>
      <c r="U22" s="64"/>
      <c r="V22" s="56"/>
      <c r="W22" s="56"/>
      <c r="X22" s="56"/>
      <c r="Y22" s="56"/>
      <c r="Z22" s="56"/>
      <c r="AA22" s="56"/>
    </row>
    <row r="23">
      <c r="A23" s="65" t="s">
        <v>28</v>
      </c>
      <c r="B23" s="66">
        <v>0.0</v>
      </c>
      <c r="C23" s="65">
        <v>0.0</v>
      </c>
      <c r="D23" s="65">
        <v>0.0</v>
      </c>
      <c r="E23" s="65">
        <v>0.0</v>
      </c>
      <c r="F23" s="65">
        <v>0.0</v>
      </c>
      <c r="G23" s="65">
        <v>0.0</v>
      </c>
      <c r="H23" s="65">
        <v>0.0</v>
      </c>
      <c r="I23" s="65">
        <v>0.0</v>
      </c>
      <c r="J23" s="65">
        <v>0.0</v>
      </c>
      <c r="K23" s="65">
        <v>0.0</v>
      </c>
      <c r="L23" s="65">
        <v>0.0</v>
      </c>
      <c r="M23" s="65">
        <v>0.0</v>
      </c>
      <c r="N23" s="65">
        <v>0.0</v>
      </c>
      <c r="O23" s="65">
        <v>0.0</v>
      </c>
      <c r="P23" s="65">
        <v>0.0</v>
      </c>
      <c r="Q23" s="65">
        <v>0.0</v>
      </c>
      <c r="R23" s="65">
        <v>0.0</v>
      </c>
      <c r="S23" s="65">
        <v>0.0</v>
      </c>
      <c r="T23" s="65">
        <v>0.0</v>
      </c>
      <c r="U23" s="68">
        <v>0.0</v>
      </c>
      <c r="V23" s="65">
        <v>0.0</v>
      </c>
      <c r="W23" s="65"/>
      <c r="X23" s="65"/>
      <c r="Y23" s="65"/>
      <c r="Z23" s="65"/>
      <c r="AA23" s="65"/>
    </row>
    <row r="24">
      <c r="A24" s="65" t="s">
        <v>29</v>
      </c>
      <c r="B24" s="66">
        <v>0.0</v>
      </c>
      <c r="C24" s="65">
        <v>0.0</v>
      </c>
      <c r="D24" s="65">
        <v>0.0</v>
      </c>
      <c r="E24" s="65">
        <v>0.0</v>
      </c>
      <c r="F24" s="65">
        <v>0.0</v>
      </c>
      <c r="G24" s="65">
        <v>0.0</v>
      </c>
      <c r="H24" s="65">
        <v>0.0</v>
      </c>
      <c r="I24" s="65">
        <v>0.0</v>
      </c>
      <c r="J24" s="65">
        <v>0.0</v>
      </c>
      <c r="K24" s="65">
        <v>0.0</v>
      </c>
      <c r="L24" s="65">
        <v>0.0</v>
      </c>
      <c r="M24" s="65">
        <v>0.0</v>
      </c>
      <c r="N24" s="65">
        <v>0.0</v>
      </c>
      <c r="O24" s="65">
        <v>0.0</v>
      </c>
      <c r="P24" s="65">
        <v>0.0</v>
      </c>
      <c r="Q24" s="65">
        <v>0.0</v>
      </c>
      <c r="R24" s="65">
        <v>0.0</v>
      </c>
      <c r="S24" s="65">
        <v>0.0</v>
      </c>
      <c r="T24" s="65">
        <v>0.0</v>
      </c>
      <c r="U24" s="68">
        <v>0.0</v>
      </c>
      <c r="V24" s="65">
        <v>0.0</v>
      </c>
      <c r="W24" s="65"/>
      <c r="X24" s="65"/>
      <c r="Y24" s="65"/>
      <c r="Z24" s="65"/>
      <c r="AA24" s="65"/>
    </row>
    <row r="25">
      <c r="A25" s="69" t="s">
        <v>30</v>
      </c>
      <c r="B25" s="70">
        <v>211.0</v>
      </c>
      <c r="C25" s="69">
        <v>295.0</v>
      </c>
      <c r="D25" s="69">
        <v>254.0</v>
      </c>
      <c r="E25" s="69">
        <v>371.0</v>
      </c>
      <c r="F25" s="69">
        <v>401.0</v>
      </c>
      <c r="G25" s="69">
        <v>314.0</v>
      </c>
      <c r="H25" s="69">
        <v>301.0</v>
      </c>
      <c r="I25" s="69">
        <v>190.0</v>
      </c>
      <c r="J25" s="69">
        <v>378.0</v>
      </c>
      <c r="K25" s="69">
        <v>295.0</v>
      </c>
      <c r="L25" s="69">
        <v>284.0</v>
      </c>
      <c r="M25" s="69">
        <v>325.0</v>
      </c>
      <c r="N25" s="69">
        <v>171.0</v>
      </c>
      <c r="O25" s="69">
        <v>384.0</v>
      </c>
      <c r="P25" s="69">
        <v>330.0</v>
      </c>
      <c r="Q25" s="69">
        <v>322.0</v>
      </c>
      <c r="R25" s="69">
        <v>271.0</v>
      </c>
      <c r="S25" s="69">
        <v>343.0</v>
      </c>
      <c r="T25" s="69">
        <v>396.0</v>
      </c>
      <c r="U25" s="71">
        <v>324.0</v>
      </c>
      <c r="V25" s="69">
        <v>318.0</v>
      </c>
      <c r="W25" s="69"/>
      <c r="X25" s="69"/>
      <c r="Y25" s="69"/>
      <c r="Z25" s="69"/>
      <c r="AA25" s="72"/>
      <c r="AB25" s="73"/>
      <c r="AC25" s="73"/>
      <c r="AD25" s="73"/>
      <c r="AE25" s="73"/>
      <c r="AF25" s="73"/>
      <c r="AG25" s="73"/>
      <c r="AH25" s="73"/>
      <c r="AI25" s="73"/>
      <c r="AJ25" s="73"/>
      <c r="AK25" s="73"/>
      <c r="AL25" s="73"/>
      <c r="AM25" s="73"/>
      <c r="AN25" s="73"/>
      <c r="AO25" s="73"/>
    </row>
    <row r="26">
      <c r="A26" s="74" t="s">
        <v>31</v>
      </c>
      <c r="B26" s="75">
        <v>243.0</v>
      </c>
      <c r="C26" s="74">
        <v>329.0</v>
      </c>
      <c r="D26" s="74">
        <v>285.0</v>
      </c>
      <c r="E26" s="74">
        <v>400.0</v>
      </c>
      <c r="F26" s="74">
        <v>401.0</v>
      </c>
      <c r="G26" s="74">
        <v>314.0</v>
      </c>
      <c r="H26" s="74">
        <v>339.0</v>
      </c>
      <c r="I26" s="74">
        <v>238.0</v>
      </c>
      <c r="J26" s="74">
        <v>402.0</v>
      </c>
      <c r="K26" s="74">
        <v>331.0</v>
      </c>
      <c r="L26" s="74">
        <v>278.0</v>
      </c>
      <c r="M26" s="74">
        <v>341.0</v>
      </c>
      <c r="N26" s="74">
        <v>175.0</v>
      </c>
      <c r="O26" s="74">
        <v>426.0</v>
      </c>
      <c r="P26" s="74">
        <v>429.0</v>
      </c>
      <c r="Q26" s="69">
        <v>365.0</v>
      </c>
      <c r="R26" s="74">
        <v>307.0</v>
      </c>
      <c r="S26" s="74">
        <v>385.0</v>
      </c>
      <c r="T26" s="74">
        <v>412.0</v>
      </c>
      <c r="U26" s="76">
        <v>324.0</v>
      </c>
      <c r="V26" s="74">
        <v>374.0</v>
      </c>
      <c r="W26" s="74"/>
      <c r="X26" s="74"/>
      <c r="Y26" s="74"/>
      <c r="Z26" s="74"/>
      <c r="AA26" s="77"/>
      <c r="AB26" s="78"/>
      <c r="AC26" s="78"/>
      <c r="AD26" s="78"/>
      <c r="AE26" s="78"/>
      <c r="AF26" s="78"/>
      <c r="AG26" s="78"/>
      <c r="AH26" s="78"/>
      <c r="AI26" s="78"/>
      <c r="AJ26" s="78"/>
      <c r="AK26" s="78"/>
      <c r="AL26" s="78"/>
      <c r="AM26" s="78"/>
      <c r="AN26" s="78"/>
      <c r="AO26" s="78"/>
    </row>
    <row r="27">
      <c r="A27" s="69" t="s">
        <v>32</v>
      </c>
      <c r="B27" s="70">
        <v>87.0</v>
      </c>
      <c r="C27" s="69">
        <v>146.0</v>
      </c>
      <c r="D27" s="69">
        <v>197.0</v>
      </c>
      <c r="E27" s="69">
        <v>152.0</v>
      </c>
      <c r="F27" s="69">
        <v>182.0</v>
      </c>
      <c r="G27" s="69">
        <v>160.0</v>
      </c>
      <c r="H27" s="69">
        <v>204.0</v>
      </c>
      <c r="I27" s="69">
        <v>138.0</v>
      </c>
      <c r="J27" s="69">
        <v>248.0</v>
      </c>
      <c r="K27" s="69">
        <v>208.0</v>
      </c>
      <c r="L27" s="69">
        <v>128.0</v>
      </c>
      <c r="M27" s="69">
        <v>250.0</v>
      </c>
      <c r="N27" s="69">
        <v>53.0</v>
      </c>
      <c r="O27" s="69">
        <v>310.0</v>
      </c>
      <c r="P27" s="69">
        <v>253.0</v>
      </c>
      <c r="Q27" s="69">
        <v>228.0</v>
      </c>
      <c r="R27" s="69">
        <v>165.0</v>
      </c>
      <c r="S27" s="69">
        <v>221.0</v>
      </c>
      <c r="T27" s="69">
        <v>253.0</v>
      </c>
      <c r="U27" s="71">
        <v>155.0</v>
      </c>
      <c r="V27" s="69">
        <v>212.0</v>
      </c>
      <c r="W27" s="69"/>
      <c r="X27" s="69"/>
      <c r="Y27" s="69"/>
      <c r="Z27" s="69"/>
      <c r="AA27" s="72"/>
      <c r="AB27" s="73"/>
      <c r="AC27" s="73"/>
      <c r="AD27" s="73"/>
      <c r="AE27" s="73"/>
      <c r="AF27" s="73"/>
      <c r="AG27" s="73"/>
      <c r="AH27" s="73"/>
      <c r="AI27" s="73"/>
      <c r="AJ27" s="73"/>
      <c r="AK27" s="73"/>
      <c r="AL27" s="73"/>
      <c r="AM27" s="73"/>
      <c r="AN27" s="73"/>
      <c r="AO27" s="73"/>
    </row>
    <row r="28">
      <c r="A28" s="79" t="s">
        <v>33</v>
      </c>
      <c r="B28" s="80">
        <f t="shared" ref="B28:F28" si="4">B7-B26</f>
        <v>104</v>
      </c>
      <c r="C28" s="80">
        <f t="shared" si="4"/>
        <v>122</v>
      </c>
      <c r="D28" s="80">
        <f t="shared" si="4"/>
        <v>131</v>
      </c>
      <c r="E28" s="80">
        <f t="shared" si="4"/>
        <v>45</v>
      </c>
      <c r="F28" s="80">
        <f t="shared" si="4"/>
        <v>219</v>
      </c>
      <c r="G28" s="80">
        <f t="shared" ref="G28:V28" si="5">G7-G27</f>
        <v>434</v>
      </c>
      <c r="H28" s="80">
        <f t="shared" si="5"/>
        <v>182</v>
      </c>
      <c r="I28" s="80">
        <f t="shared" si="5"/>
        <v>126</v>
      </c>
      <c r="J28" s="80">
        <f t="shared" si="5"/>
        <v>201</v>
      </c>
      <c r="K28" s="80">
        <f t="shared" si="5"/>
        <v>210</v>
      </c>
      <c r="L28" s="80">
        <f t="shared" si="5"/>
        <v>283</v>
      </c>
      <c r="M28" s="80">
        <f t="shared" si="5"/>
        <v>164</v>
      </c>
      <c r="N28" s="80">
        <f t="shared" si="5"/>
        <v>181</v>
      </c>
      <c r="O28" s="80">
        <f t="shared" si="5"/>
        <v>150</v>
      </c>
      <c r="P28" s="80">
        <f t="shared" si="5"/>
        <v>249</v>
      </c>
      <c r="Q28" s="80">
        <f t="shared" si="5"/>
        <v>241</v>
      </c>
      <c r="R28" s="80">
        <f t="shared" si="5"/>
        <v>180</v>
      </c>
      <c r="S28" s="80">
        <f t="shared" si="5"/>
        <v>269</v>
      </c>
      <c r="T28" s="80">
        <f t="shared" si="5"/>
        <v>293</v>
      </c>
      <c r="U28" s="80">
        <f t="shared" si="5"/>
        <v>356</v>
      </c>
      <c r="V28" s="80">
        <f t="shared" si="5"/>
        <v>329</v>
      </c>
      <c r="W28" s="79"/>
      <c r="X28" s="79"/>
      <c r="Y28" s="79"/>
      <c r="Z28" s="79"/>
      <c r="AA28" s="79"/>
    </row>
    <row r="29">
      <c r="A29" s="82" t="s">
        <v>34</v>
      </c>
      <c r="B29" s="83">
        <v>296.0</v>
      </c>
      <c r="C29" s="83">
        <v>373.0</v>
      </c>
      <c r="D29" s="85">
        <v>355.0</v>
      </c>
      <c r="E29" s="84">
        <f>403-37</f>
        <v>366</v>
      </c>
      <c r="F29" s="85">
        <v>407.0</v>
      </c>
      <c r="G29" s="85">
        <v>413.0</v>
      </c>
      <c r="H29" s="84">
        <f>321-55</f>
        <v>266</v>
      </c>
      <c r="I29" s="85">
        <v>192.0</v>
      </c>
      <c r="J29" s="85">
        <v>376.0</v>
      </c>
      <c r="K29" s="85">
        <v>296.0</v>
      </c>
      <c r="L29" s="85">
        <v>278.0</v>
      </c>
      <c r="M29" s="85">
        <v>362.0</v>
      </c>
      <c r="N29" s="85">
        <v>171.0</v>
      </c>
      <c r="O29" s="85">
        <v>301.0</v>
      </c>
      <c r="P29" s="84">
        <f>431-78</f>
        <v>353</v>
      </c>
      <c r="Q29" s="792">
        <v>367.0</v>
      </c>
      <c r="R29" s="85">
        <v>282.0</v>
      </c>
      <c r="S29" s="85">
        <v>368.0</v>
      </c>
      <c r="T29" s="85">
        <v>450.0</v>
      </c>
      <c r="U29" s="86">
        <v>390.0</v>
      </c>
      <c r="V29" s="85">
        <v>427.0</v>
      </c>
      <c r="W29" s="85"/>
      <c r="X29" s="85"/>
      <c r="Y29" s="85"/>
      <c r="Z29" s="85"/>
      <c r="AA29" s="87"/>
      <c r="AB29" s="87"/>
      <c r="AC29" s="88"/>
      <c r="AD29" s="88"/>
      <c r="AE29" s="88"/>
      <c r="AF29" s="88"/>
      <c r="AG29" s="88"/>
      <c r="AH29" s="88"/>
      <c r="AI29" s="88"/>
      <c r="AJ29" s="88"/>
      <c r="AK29" s="88"/>
      <c r="AL29" s="88"/>
      <c r="AM29" s="89"/>
      <c r="AN29" s="88"/>
      <c r="AO29" s="88"/>
    </row>
    <row r="30">
      <c r="A30" s="90" t="s">
        <v>35</v>
      </c>
      <c r="B30" s="91" t="s">
        <v>1443</v>
      </c>
      <c r="C30" s="91" t="s">
        <v>1444</v>
      </c>
      <c r="D30" s="91" t="s">
        <v>1445</v>
      </c>
      <c r="E30" s="91" t="s">
        <v>1446</v>
      </c>
      <c r="F30" s="91" t="s">
        <v>1447</v>
      </c>
      <c r="G30" s="91" t="s">
        <v>1448</v>
      </c>
      <c r="H30" s="91" t="s">
        <v>1449</v>
      </c>
      <c r="I30" s="91" t="s">
        <v>1450</v>
      </c>
      <c r="J30" s="91" t="s">
        <v>1451</v>
      </c>
      <c r="K30" s="91" t="s">
        <v>1452</v>
      </c>
      <c r="L30" s="91" t="s">
        <v>1453</v>
      </c>
      <c r="M30" s="91" t="s">
        <v>1454</v>
      </c>
      <c r="N30" s="91" t="s">
        <v>1455</v>
      </c>
      <c r="O30" s="91" t="s">
        <v>1456</v>
      </c>
      <c r="P30" s="91" t="s">
        <v>1457</v>
      </c>
      <c r="Q30" s="91" t="s">
        <v>1458</v>
      </c>
      <c r="R30" s="91" t="s">
        <v>1459</v>
      </c>
      <c r="S30" s="91" t="s">
        <v>1460</v>
      </c>
      <c r="T30" s="91" t="s">
        <v>1461</v>
      </c>
      <c r="U30" s="93" t="s">
        <v>1462</v>
      </c>
      <c r="V30" s="91" t="s">
        <v>1463</v>
      </c>
      <c r="W30" s="91"/>
      <c r="X30" s="91"/>
      <c r="Y30" s="91"/>
      <c r="Z30" s="91"/>
      <c r="AA30" s="91"/>
      <c r="AB30" s="94"/>
      <c r="AC30" s="95"/>
      <c r="AD30" s="95"/>
      <c r="AE30" s="95"/>
      <c r="AF30" s="95"/>
      <c r="AG30" s="95"/>
      <c r="AH30" s="95"/>
      <c r="AI30" s="95"/>
      <c r="AJ30" s="95"/>
      <c r="AK30" s="95"/>
      <c r="AL30" s="95"/>
      <c r="AM30" s="95"/>
      <c r="AN30" s="95"/>
      <c r="AO30" s="95"/>
    </row>
    <row r="31">
      <c r="A31" s="96" t="s">
        <v>36</v>
      </c>
      <c r="B31" s="97">
        <v>0.0</v>
      </c>
      <c r="C31" s="97">
        <v>1.0</v>
      </c>
      <c r="D31" s="97">
        <v>0.0</v>
      </c>
      <c r="E31" s="98">
        <v>0.0</v>
      </c>
      <c r="F31" s="97">
        <v>1.0</v>
      </c>
      <c r="G31" s="98">
        <v>0.0</v>
      </c>
      <c r="H31" s="98">
        <v>0.0</v>
      </c>
      <c r="I31" s="98">
        <v>0.0</v>
      </c>
      <c r="J31" s="97">
        <v>1.0</v>
      </c>
      <c r="K31" s="98">
        <v>0.0</v>
      </c>
      <c r="L31" s="98">
        <v>0.0</v>
      </c>
      <c r="M31" s="97">
        <v>1.0</v>
      </c>
      <c r="N31" s="97">
        <v>1.0</v>
      </c>
      <c r="O31" s="97">
        <v>1.0</v>
      </c>
      <c r="P31" s="98">
        <v>0.0</v>
      </c>
      <c r="Q31" s="98">
        <v>0.0</v>
      </c>
      <c r="R31" s="97">
        <v>1.0</v>
      </c>
      <c r="S31" s="97">
        <v>1.0</v>
      </c>
      <c r="T31" s="98">
        <v>0.0</v>
      </c>
      <c r="U31" s="98">
        <v>0.0</v>
      </c>
      <c r="V31" s="98">
        <v>0.0</v>
      </c>
      <c r="W31" s="98">
        <v>0.0</v>
      </c>
      <c r="X31" s="98">
        <v>0.0</v>
      </c>
      <c r="Y31" s="98">
        <v>0.0</v>
      </c>
      <c r="Z31" s="98">
        <v>0.0</v>
      </c>
      <c r="AA31" s="98">
        <v>0.0</v>
      </c>
      <c r="AB31" s="99"/>
      <c r="AC31" s="100"/>
      <c r="AD31" s="100"/>
      <c r="AE31" s="100"/>
      <c r="AF31" s="100"/>
      <c r="AG31" s="100"/>
      <c r="AH31" s="100"/>
      <c r="AI31" s="100"/>
      <c r="AJ31" s="100"/>
      <c r="AK31" s="100"/>
      <c r="AL31" s="100"/>
      <c r="AM31" s="100"/>
      <c r="AN31" s="100"/>
      <c r="AO31" s="100"/>
    </row>
    <row r="32">
      <c r="A32" s="101" t="s">
        <v>37</v>
      </c>
      <c r="B32" s="102">
        <f t="shared" ref="B32:V32" si="6">IFERROR(B26/B8, 0)</f>
        <v>0.7408536585</v>
      </c>
      <c r="C32" s="102">
        <f t="shared" si="6"/>
        <v>0.8204488778</v>
      </c>
      <c r="D32" s="102">
        <f t="shared" si="6"/>
        <v>0.8028169014</v>
      </c>
      <c r="E32" s="102">
        <f t="shared" si="6"/>
        <v>0.9925558313</v>
      </c>
      <c r="F32" s="102">
        <f t="shared" si="6"/>
        <v>0.9197247706</v>
      </c>
      <c r="G32" s="102">
        <f t="shared" si="6"/>
        <v>0.7104072398</v>
      </c>
      <c r="H32" s="102">
        <f t="shared" si="6"/>
        <v>1.056074766</v>
      </c>
      <c r="I32" s="102">
        <f t="shared" si="6"/>
        <v>0.9834710744</v>
      </c>
      <c r="J32" s="102">
        <f t="shared" si="6"/>
        <v>0.9548693587</v>
      </c>
      <c r="K32" s="102">
        <f t="shared" si="6"/>
        <v>0.9457142857</v>
      </c>
      <c r="L32" s="102">
        <f t="shared" si="6"/>
        <v>0.7493261456</v>
      </c>
      <c r="M32" s="102">
        <f t="shared" si="6"/>
        <v>0.9551820728</v>
      </c>
      <c r="N32" s="102">
        <f t="shared" si="6"/>
        <v>0.9510869565</v>
      </c>
      <c r="O32" s="102">
        <f t="shared" si="6"/>
        <v>1.009478673</v>
      </c>
      <c r="P32" s="102">
        <f t="shared" si="6"/>
        <v>0.9953596288</v>
      </c>
      <c r="Q32" s="102">
        <f t="shared" si="6"/>
        <v>0.8968058968</v>
      </c>
      <c r="R32" s="102">
        <f t="shared" si="6"/>
        <v>0.9967532468</v>
      </c>
      <c r="S32" s="102">
        <f t="shared" si="6"/>
        <v>0.950617284</v>
      </c>
      <c r="T32" s="102">
        <f t="shared" si="6"/>
        <v>0.9155555556</v>
      </c>
      <c r="U32" s="102">
        <f t="shared" si="6"/>
        <v>0.7534883721</v>
      </c>
      <c r="V32" s="102">
        <f t="shared" si="6"/>
        <v>0.77593361</v>
      </c>
      <c r="W32" s="102"/>
      <c r="X32" s="102"/>
      <c r="Y32" s="102"/>
      <c r="Z32" s="102"/>
      <c r="AA32" s="102"/>
    </row>
    <row r="33">
      <c r="A33" s="105" t="s">
        <v>38</v>
      </c>
      <c r="B33" s="106">
        <f t="shared" ref="B33:AA33" si="7">IFERROR(B19/B25, 0)</f>
        <v>0.1943127962</v>
      </c>
      <c r="C33" s="106">
        <f t="shared" si="7"/>
        <v>0.1152542373</v>
      </c>
      <c r="D33" s="106">
        <f t="shared" si="7"/>
        <v>0.3188976378</v>
      </c>
      <c r="E33" s="106">
        <f t="shared" si="7"/>
        <v>0.1859838275</v>
      </c>
      <c r="F33" s="106">
        <f t="shared" si="7"/>
        <v>0.1571072319</v>
      </c>
      <c r="G33" s="106">
        <f t="shared" si="7"/>
        <v>0.2165605096</v>
      </c>
      <c r="H33" s="106">
        <f t="shared" si="7"/>
        <v>0.2292358804</v>
      </c>
      <c r="I33" s="106">
        <f t="shared" si="7"/>
        <v>0.2736842105</v>
      </c>
      <c r="J33" s="106">
        <f t="shared" si="7"/>
        <v>0.1428571429</v>
      </c>
      <c r="K33" s="106">
        <f t="shared" si="7"/>
        <v>0.1288135593</v>
      </c>
      <c r="L33" s="106">
        <f t="shared" si="7"/>
        <v>0.2711267606</v>
      </c>
      <c r="M33" s="106">
        <f t="shared" si="7"/>
        <v>0.2923076923</v>
      </c>
      <c r="N33" s="106">
        <f t="shared" si="7"/>
        <v>0.2456140351</v>
      </c>
      <c r="O33" s="106">
        <f t="shared" si="7"/>
        <v>0.1796875</v>
      </c>
      <c r="P33" s="106">
        <f t="shared" si="7"/>
        <v>0.2</v>
      </c>
      <c r="Q33" s="106">
        <f t="shared" si="7"/>
        <v>0.1894409938</v>
      </c>
      <c r="R33" s="106">
        <f t="shared" si="7"/>
        <v>0.1808118081</v>
      </c>
      <c r="S33" s="106">
        <f t="shared" si="7"/>
        <v>0.27696793</v>
      </c>
      <c r="T33" s="106">
        <f t="shared" si="7"/>
        <v>0.1944444444</v>
      </c>
      <c r="U33" s="106">
        <f t="shared" si="7"/>
        <v>0.2469135802</v>
      </c>
      <c r="V33" s="106">
        <f t="shared" si="7"/>
        <v>0.1761006289</v>
      </c>
      <c r="W33" s="106">
        <f t="shared" si="7"/>
        <v>0</v>
      </c>
      <c r="X33" s="106">
        <f t="shared" si="7"/>
        <v>0</v>
      </c>
      <c r="Y33" s="106">
        <f t="shared" si="7"/>
        <v>0</v>
      </c>
      <c r="Z33" s="106">
        <f t="shared" si="7"/>
        <v>0</v>
      </c>
      <c r="AA33" s="106">
        <f t="shared" si="7"/>
        <v>0</v>
      </c>
    </row>
    <row r="34">
      <c r="A34" s="109" t="s">
        <v>39</v>
      </c>
      <c r="B34" s="110">
        <f t="shared" ref="B34:AA34" si="8">IFERROR(B27/B25, 0)</f>
        <v>0.4123222749</v>
      </c>
      <c r="C34" s="110">
        <f t="shared" si="8"/>
        <v>0.4949152542</v>
      </c>
      <c r="D34" s="110">
        <f t="shared" si="8"/>
        <v>0.7755905512</v>
      </c>
      <c r="E34" s="110">
        <f t="shared" si="8"/>
        <v>0.409703504</v>
      </c>
      <c r="F34" s="110">
        <f t="shared" si="8"/>
        <v>0.4538653367</v>
      </c>
      <c r="G34" s="110">
        <f t="shared" si="8"/>
        <v>0.5095541401</v>
      </c>
      <c r="H34" s="110">
        <f t="shared" si="8"/>
        <v>0.6777408638</v>
      </c>
      <c r="I34" s="110">
        <f t="shared" si="8"/>
        <v>0.7263157895</v>
      </c>
      <c r="J34" s="110">
        <f t="shared" si="8"/>
        <v>0.6560846561</v>
      </c>
      <c r="K34" s="110">
        <f t="shared" si="8"/>
        <v>0.7050847458</v>
      </c>
      <c r="L34" s="110">
        <f t="shared" si="8"/>
        <v>0.4507042254</v>
      </c>
      <c r="M34" s="110">
        <f t="shared" si="8"/>
        <v>0.7692307692</v>
      </c>
      <c r="N34" s="110">
        <f t="shared" si="8"/>
        <v>0.3099415205</v>
      </c>
      <c r="O34" s="110">
        <f t="shared" si="8"/>
        <v>0.8072916667</v>
      </c>
      <c r="P34" s="110">
        <f t="shared" si="8"/>
        <v>0.7666666667</v>
      </c>
      <c r="Q34" s="110">
        <f t="shared" si="8"/>
        <v>0.7080745342</v>
      </c>
      <c r="R34" s="110">
        <f t="shared" si="8"/>
        <v>0.6088560886</v>
      </c>
      <c r="S34" s="110">
        <f t="shared" si="8"/>
        <v>0.6443148688</v>
      </c>
      <c r="T34" s="110">
        <f t="shared" si="8"/>
        <v>0.6388888889</v>
      </c>
      <c r="U34" s="110">
        <f t="shared" si="8"/>
        <v>0.4783950617</v>
      </c>
      <c r="V34" s="110">
        <f t="shared" si="8"/>
        <v>0.6666666667</v>
      </c>
      <c r="W34" s="110">
        <f t="shared" si="8"/>
        <v>0</v>
      </c>
      <c r="X34" s="110">
        <f t="shared" si="8"/>
        <v>0</v>
      </c>
      <c r="Y34" s="110">
        <f t="shared" si="8"/>
        <v>0</v>
      </c>
      <c r="Z34" s="110">
        <f t="shared" si="8"/>
        <v>0</v>
      </c>
      <c r="AA34" s="110">
        <f t="shared" si="8"/>
        <v>0</v>
      </c>
      <c r="AB34" s="112"/>
      <c r="AC34" s="113"/>
      <c r="AD34" s="113"/>
      <c r="AE34" s="113"/>
      <c r="AF34" s="113"/>
      <c r="AG34" s="113"/>
      <c r="AH34" s="113"/>
      <c r="AI34" s="113"/>
      <c r="AJ34" s="113"/>
      <c r="AK34" s="113"/>
      <c r="AL34" s="113"/>
      <c r="AM34" s="113"/>
      <c r="AN34" s="113"/>
      <c r="AO34" s="113"/>
    </row>
    <row r="35">
      <c r="A35" s="114" t="s">
        <v>40</v>
      </c>
      <c r="B35" s="115"/>
      <c r="C35" s="115"/>
      <c r="D35" s="115"/>
      <c r="E35" s="115"/>
      <c r="F35" s="115"/>
      <c r="G35" s="115"/>
      <c r="H35" s="115"/>
      <c r="I35" s="115"/>
      <c r="J35" s="115"/>
      <c r="K35" s="115"/>
      <c r="L35" s="115"/>
      <c r="M35" s="115"/>
      <c r="N35" s="115"/>
      <c r="O35" s="115"/>
      <c r="P35" s="115"/>
      <c r="Q35" s="115"/>
      <c r="R35" s="115"/>
      <c r="S35" s="115"/>
      <c r="T35" s="115"/>
      <c r="U35" s="116"/>
      <c r="V35" s="115"/>
      <c r="W35" s="115"/>
      <c r="X35" s="115"/>
      <c r="Y35" s="115"/>
      <c r="Z35" s="115"/>
      <c r="AA35" s="115"/>
      <c r="AB35" s="112"/>
      <c r="AC35" s="113"/>
      <c r="AD35" s="113"/>
      <c r="AE35" s="113"/>
      <c r="AF35" s="113"/>
      <c r="AG35" s="113"/>
      <c r="AH35" s="113"/>
      <c r="AI35" s="113"/>
      <c r="AJ35" s="113"/>
      <c r="AK35" s="113"/>
      <c r="AL35" s="113"/>
      <c r="AM35" s="113"/>
      <c r="AN35" s="113"/>
      <c r="AO35" s="113"/>
    </row>
    <row r="36">
      <c r="A36" s="117" t="s">
        <v>41</v>
      </c>
      <c r="B36" s="118"/>
      <c r="C36" s="119"/>
      <c r="D36" s="119"/>
      <c r="E36" s="119"/>
      <c r="F36" s="119"/>
      <c r="G36" s="119"/>
      <c r="H36" s="119"/>
      <c r="I36" s="119"/>
      <c r="J36" s="119"/>
      <c r="K36" s="119"/>
      <c r="L36" s="119"/>
      <c r="M36" s="119"/>
      <c r="N36" s="119"/>
      <c r="O36" s="119"/>
      <c r="P36" s="119"/>
      <c r="Q36" s="119"/>
      <c r="R36" s="119"/>
      <c r="S36" s="119"/>
      <c r="T36" s="119"/>
      <c r="U36" s="120"/>
      <c r="V36" s="119"/>
      <c r="W36" s="119"/>
      <c r="X36" s="119"/>
      <c r="Y36" s="119"/>
      <c r="Z36" s="119"/>
      <c r="AA36" s="119"/>
      <c r="AB36" s="121"/>
      <c r="AC36" s="121"/>
      <c r="AD36" s="121"/>
      <c r="AE36" s="121"/>
      <c r="AF36" s="121"/>
      <c r="AG36" s="99"/>
      <c r="AH36" s="99"/>
      <c r="AI36" s="99"/>
      <c r="AJ36" s="99"/>
      <c r="AK36" s="99"/>
      <c r="AL36" s="99"/>
      <c r="AM36" s="99"/>
      <c r="AN36" s="99"/>
      <c r="AO36" s="99"/>
    </row>
    <row r="37">
      <c r="A37" s="184" t="s">
        <v>141</v>
      </c>
      <c r="B37" s="185">
        <f t="shared" ref="B37:AA37" si="9">B82/B8</f>
        <v>0</v>
      </c>
      <c r="C37" s="185">
        <f t="shared" si="9"/>
        <v>0</v>
      </c>
      <c r="D37" s="185">
        <f t="shared" si="9"/>
        <v>0</v>
      </c>
      <c r="E37" s="185">
        <f t="shared" si="9"/>
        <v>0</v>
      </c>
      <c r="F37" s="185">
        <f t="shared" si="9"/>
        <v>0</v>
      </c>
      <c r="G37" s="185">
        <f t="shared" si="9"/>
        <v>0</v>
      </c>
      <c r="H37" s="185">
        <f t="shared" si="9"/>
        <v>0</v>
      </c>
      <c r="I37" s="185">
        <f t="shared" si="9"/>
        <v>0</v>
      </c>
      <c r="J37" s="185">
        <f t="shared" si="9"/>
        <v>0</v>
      </c>
      <c r="K37" s="185">
        <f t="shared" si="9"/>
        <v>0</v>
      </c>
      <c r="L37" s="185">
        <f t="shared" si="9"/>
        <v>0</v>
      </c>
      <c r="M37" s="185">
        <f t="shared" si="9"/>
        <v>0</v>
      </c>
      <c r="N37" s="185">
        <f t="shared" si="9"/>
        <v>0</v>
      </c>
      <c r="O37" s="185">
        <f t="shared" si="9"/>
        <v>0</v>
      </c>
      <c r="P37" s="185">
        <f t="shared" si="9"/>
        <v>0</v>
      </c>
      <c r="Q37" s="185">
        <f t="shared" si="9"/>
        <v>0</v>
      </c>
      <c r="R37" s="185">
        <f t="shared" si="9"/>
        <v>0</v>
      </c>
      <c r="S37" s="185">
        <f t="shared" si="9"/>
        <v>0</v>
      </c>
      <c r="T37" s="185">
        <f t="shared" si="9"/>
        <v>0</v>
      </c>
      <c r="U37" s="185">
        <f t="shared" si="9"/>
        <v>0</v>
      </c>
      <c r="V37" s="185">
        <f t="shared" si="9"/>
        <v>0</v>
      </c>
      <c r="W37" s="185" t="str">
        <f t="shared" si="9"/>
        <v>#DIV/0!</v>
      </c>
      <c r="X37" s="185" t="str">
        <f t="shared" si="9"/>
        <v>#DIV/0!</v>
      </c>
      <c r="Y37" s="185" t="str">
        <f t="shared" si="9"/>
        <v>#DIV/0!</v>
      </c>
      <c r="Z37" s="185" t="str">
        <f t="shared" si="9"/>
        <v>#DIV/0!</v>
      </c>
      <c r="AA37" s="185" t="str">
        <f t="shared" si="9"/>
        <v>#DIV/0!</v>
      </c>
      <c r="AB37" s="240"/>
      <c r="AC37" s="186"/>
      <c r="AD37" s="186"/>
      <c r="AE37" s="186"/>
      <c r="AF37" s="186"/>
      <c r="AG37" s="186"/>
      <c r="AH37" s="186"/>
      <c r="AI37" s="186"/>
      <c r="AJ37" s="186"/>
      <c r="AK37" s="186"/>
      <c r="AL37" s="186"/>
      <c r="AM37" s="186"/>
      <c r="AN37" s="186"/>
      <c r="AO37" s="186"/>
    </row>
    <row r="38">
      <c r="A38" s="187" t="s">
        <v>42</v>
      </c>
      <c r="B38" s="191">
        <v>0.3325</v>
      </c>
      <c r="C38" s="191">
        <v>0.4316</v>
      </c>
      <c r="D38" s="185">
        <f>37%</f>
        <v>0.37</v>
      </c>
      <c r="E38" s="185">
        <f>196/403</f>
        <v>0.4863523573</v>
      </c>
      <c r="F38" s="185">
        <f>199/407</f>
        <v>0.4889434889</v>
      </c>
      <c r="G38" s="185">
        <f>165/413</f>
        <v>0.3995157385</v>
      </c>
      <c r="H38" s="191">
        <f>88/282</f>
        <v>0.3120567376</v>
      </c>
      <c r="I38" s="185">
        <f>96/I29</f>
        <v>0.5</v>
      </c>
      <c r="J38" s="185">
        <f>142/J29</f>
        <v>0.3776595745</v>
      </c>
      <c r="K38" s="185">
        <f>136/(K29+30)</f>
        <v>0.4171779141</v>
      </c>
      <c r="L38" s="191">
        <v>0.33</v>
      </c>
      <c r="M38" s="185">
        <f>123/357</f>
        <v>0.3445378151</v>
      </c>
      <c r="N38" s="185">
        <f>73/184</f>
        <v>0.3967391304</v>
      </c>
      <c r="O38" s="191">
        <f>152/385</f>
        <v>0.3948051948</v>
      </c>
      <c r="P38" s="185">
        <f>201/431</f>
        <v>0.4663573086</v>
      </c>
      <c r="Q38" s="185">
        <f>178/367</f>
        <v>0.485013624</v>
      </c>
      <c r="R38" s="185">
        <f>100/282</f>
        <v>0.3546099291</v>
      </c>
      <c r="S38" s="191">
        <v>0.32</v>
      </c>
      <c r="T38" s="191">
        <v>0.43</v>
      </c>
      <c r="U38" s="191">
        <v>0.42</v>
      </c>
      <c r="V38" s="191">
        <v>0.38</v>
      </c>
      <c r="W38" s="185">
        <v>0.0</v>
      </c>
      <c r="X38" s="185">
        <v>0.0</v>
      </c>
      <c r="Y38" s="185">
        <v>0.0</v>
      </c>
      <c r="Z38" s="185">
        <v>0.0</v>
      </c>
      <c r="AA38" s="185">
        <v>0.0</v>
      </c>
      <c r="AB38" s="188"/>
      <c r="AC38" s="189"/>
      <c r="AD38" s="189"/>
      <c r="AE38" s="189"/>
      <c r="AF38" s="189"/>
      <c r="AG38" s="147"/>
      <c r="AH38" s="147"/>
      <c r="AI38" s="147"/>
      <c r="AJ38" s="147"/>
      <c r="AK38" s="147"/>
      <c r="AL38" s="147"/>
      <c r="AM38" s="147"/>
      <c r="AN38" s="147"/>
      <c r="AO38" s="147"/>
    </row>
    <row r="39">
      <c r="A39" s="190" t="s">
        <v>43</v>
      </c>
      <c r="B39" s="191">
        <v>1.0</v>
      </c>
      <c r="C39" s="185">
        <v>1.0</v>
      </c>
      <c r="D39" s="191">
        <v>1.0</v>
      </c>
      <c r="E39" s="191">
        <v>1.0</v>
      </c>
      <c r="F39" s="191">
        <v>1.0</v>
      </c>
      <c r="G39" s="191">
        <v>1.0</v>
      </c>
      <c r="H39" s="191">
        <v>1.0</v>
      </c>
      <c r="I39" s="191">
        <v>1.0</v>
      </c>
      <c r="J39" s="191">
        <v>1.0</v>
      </c>
      <c r="K39" s="191">
        <v>1.0</v>
      </c>
      <c r="L39" s="191">
        <v>1.0</v>
      </c>
      <c r="M39" s="191">
        <v>1.0</v>
      </c>
      <c r="N39" s="191">
        <v>1.0</v>
      </c>
      <c r="O39" s="191">
        <v>1.0</v>
      </c>
      <c r="P39" s="191">
        <v>1.0</v>
      </c>
      <c r="Q39" s="191">
        <v>1.0</v>
      </c>
      <c r="R39" s="191">
        <v>1.0</v>
      </c>
      <c r="S39" s="191">
        <v>1.0</v>
      </c>
      <c r="T39" s="191">
        <v>1.0</v>
      </c>
      <c r="U39" s="191">
        <v>1.0</v>
      </c>
      <c r="V39" s="191">
        <v>1.0</v>
      </c>
      <c r="W39" s="185">
        <v>0.0</v>
      </c>
      <c r="X39" s="185">
        <v>0.0</v>
      </c>
      <c r="Y39" s="185">
        <v>0.0</v>
      </c>
      <c r="Z39" s="185">
        <v>0.0</v>
      </c>
      <c r="AA39" s="185">
        <v>0.0</v>
      </c>
      <c r="AB39" s="189"/>
      <c r="AC39" s="189"/>
      <c r="AD39" s="189"/>
      <c r="AE39" s="189"/>
      <c r="AF39" s="189"/>
      <c r="AG39" s="147"/>
      <c r="AH39" s="147"/>
      <c r="AI39" s="147"/>
      <c r="AJ39" s="147"/>
      <c r="AK39" s="147"/>
      <c r="AL39" s="147"/>
      <c r="AM39" s="147"/>
      <c r="AN39" s="147"/>
      <c r="AO39" s="147"/>
    </row>
    <row r="40">
      <c r="A40" s="750" t="s">
        <v>44</v>
      </c>
      <c r="B40" s="730">
        <f t="shared" ref="B40:AA40" si="10">(B31*0.7) + (IF(B38 &gt;= 30%, 1, 0)*0.15) + (B39*0.15)</f>
        <v>0.3</v>
      </c>
      <c r="C40" s="730">
        <f t="shared" si="10"/>
        <v>1</v>
      </c>
      <c r="D40" s="730">
        <f t="shared" si="10"/>
        <v>0.3</v>
      </c>
      <c r="E40" s="730">
        <f t="shared" si="10"/>
        <v>0.3</v>
      </c>
      <c r="F40" s="730">
        <f t="shared" si="10"/>
        <v>1</v>
      </c>
      <c r="G40" s="730">
        <f t="shared" si="10"/>
        <v>0.3</v>
      </c>
      <c r="H40" s="730">
        <f t="shared" si="10"/>
        <v>0.3</v>
      </c>
      <c r="I40" s="730">
        <f t="shared" si="10"/>
        <v>0.3</v>
      </c>
      <c r="J40" s="730">
        <f t="shared" si="10"/>
        <v>1</v>
      </c>
      <c r="K40" s="730">
        <f t="shared" si="10"/>
        <v>0.3</v>
      </c>
      <c r="L40" s="730">
        <f t="shared" si="10"/>
        <v>0.3</v>
      </c>
      <c r="M40" s="730">
        <f t="shared" si="10"/>
        <v>1</v>
      </c>
      <c r="N40" s="730">
        <f t="shared" si="10"/>
        <v>1</v>
      </c>
      <c r="O40" s="730">
        <f t="shared" si="10"/>
        <v>1</v>
      </c>
      <c r="P40" s="730">
        <f t="shared" si="10"/>
        <v>0.3</v>
      </c>
      <c r="Q40" s="730">
        <f t="shared" si="10"/>
        <v>0.3</v>
      </c>
      <c r="R40" s="730">
        <f t="shared" si="10"/>
        <v>1</v>
      </c>
      <c r="S40" s="730">
        <f t="shared" si="10"/>
        <v>1</v>
      </c>
      <c r="T40" s="730">
        <f t="shared" si="10"/>
        <v>0.3</v>
      </c>
      <c r="U40" s="730">
        <f t="shared" si="10"/>
        <v>0.3</v>
      </c>
      <c r="V40" s="730">
        <f t="shared" si="10"/>
        <v>0.3</v>
      </c>
      <c r="W40" s="730">
        <f t="shared" si="10"/>
        <v>0</v>
      </c>
      <c r="X40" s="730">
        <f t="shared" si="10"/>
        <v>0</v>
      </c>
      <c r="Y40" s="730">
        <f t="shared" si="10"/>
        <v>0</v>
      </c>
      <c r="Z40" s="730">
        <f t="shared" si="10"/>
        <v>0</v>
      </c>
      <c r="AA40" s="730">
        <f t="shared" si="10"/>
        <v>0</v>
      </c>
      <c r="AB40" s="731"/>
      <c r="AC40" s="731"/>
      <c r="AD40" s="731"/>
      <c r="AE40" s="731"/>
      <c r="AF40" s="731"/>
      <c r="AG40" s="732"/>
      <c r="AH40" s="732"/>
      <c r="AI40" s="732"/>
      <c r="AJ40" s="732"/>
      <c r="AK40" s="732"/>
      <c r="AL40" s="732"/>
      <c r="AM40" s="732"/>
      <c r="AN40" s="732"/>
      <c r="AO40" s="147"/>
    </row>
    <row r="41">
      <c r="A41" s="193" t="s">
        <v>142</v>
      </c>
      <c r="B41" s="194"/>
      <c r="O41" s="730">
        <v>1.0</v>
      </c>
      <c r="P41" s="730">
        <v>0.3</v>
      </c>
      <c r="Q41" s="730">
        <v>0.3</v>
      </c>
      <c r="R41" s="730">
        <v>1.0</v>
      </c>
      <c r="S41" s="730">
        <v>1.0</v>
      </c>
      <c r="T41" s="730">
        <v>0.3</v>
      </c>
      <c r="U41" s="31"/>
    </row>
    <row r="42">
      <c r="A42" s="126" t="s">
        <v>45</v>
      </c>
      <c r="B42" s="127"/>
      <c r="C42" s="128"/>
      <c r="D42" s="128"/>
      <c r="E42" s="128"/>
      <c r="F42" s="128"/>
      <c r="G42" s="128"/>
      <c r="H42" s="128"/>
      <c r="I42" s="128"/>
      <c r="J42" s="128"/>
      <c r="K42" s="128"/>
      <c r="L42" s="128"/>
      <c r="M42" s="128"/>
      <c r="N42" s="128"/>
      <c r="O42" s="128"/>
      <c r="P42" s="128"/>
      <c r="Q42" s="128"/>
      <c r="R42" s="128"/>
      <c r="S42" s="128"/>
      <c r="T42" s="128"/>
      <c r="U42" s="129"/>
      <c r="V42" s="128"/>
      <c r="W42" s="128"/>
      <c r="X42" s="128"/>
      <c r="Y42" s="128"/>
      <c r="Z42" s="128"/>
      <c r="AA42" s="128"/>
      <c r="AB42" s="128"/>
      <c r="AC42" s="128"/>
      <c r="AD42" s="130"/>
      <c r="AE42" s="130"/>
      <c r="AF42" s="130"/>
      <c r="AG42" s="130"/>
      <c r="AH42" s="130"/>
      <c r="AI42" s="130"/>
      <c r="AJ42" s="130"/>
      <c r="AK42" s="130"/>
      <c r="AL42" s="130"/>
      <c r="AM42" s="130"/>
      <c r="AN42" s="130"/>
      <c r="AO42" s="130"/>
    </row>
    <row r="43">
      <c r="A43" s="131" t="s">
        <v>1464</v>
      </c>
      <c r="B43" s="132">
        <v>0.0</v>
      </c>
      <c r="C43" s="133">
        <v>40.0</v>
      </c>
      <c r="D43" s="133">
        <v>47.0</v>
      </c>
      <c r="E43" s="133">
        <v>66.0</v>
      </c>
      <c r="F43" s="133">
        <v>60.0</v>
      </c>
      <c r="G43" s="133">
        <v>53.0</v>
      </c>
      <c r="H43" s="133">
        <v>44.0</v>
      </c>
      <c r="I43" s="133">
        <v>35.0</v>
      </c>
      <c r="J43" s="133">
        <v>58.0</v>
      </c>
      <c r="K43" s="133">
        <v>47.0</v>
      </c>
      <c r="L43" s="133">
        <v>47.0</v>
      </c>
      <c r="M43" s="133">
        <v>50.0</v>
      </c>
      <c r="N43" s="133">
        <v>29.0</v>
      </c>
      <c r="O43" s="133">
        <v>57.0</v>
      </c>
      <c r="P43" s="133">
        <v>59.0</v>
      </c>
      <c r="Q43" s="133">
        <v>52.0</v>
      </c>
      <c r="R43" s="133">
        <v>38.0</v>
      </c>
      <c r="S43" s="133">
        <v>55.0</v>
      </c>
      <c r="T43" s="133">
        <v>57.0</v>
      </c>
      <c r="U43" s="134">
        <v>56.0</v>
      </c>
      <c r="V43" s="133">
        <v>54.0</v>
      </c>
      <c r="W43" s="133"/>
      <c r="X43" s="133"/>
      <c r="Y43" s="133"/>
      <c r="Z43" s="133"/>
      <c r="AA43" s="133"/>
      <c r="AB43" s="133"/>
      <c r="AC43" s="130"/>
      <c r="AD43" s="130"/>
      <c r="AE43" s="130"/>
      <c r="AF43" s="130"/>
      <c r="AG43" s="130"/>
      <c r="AH43" s="130"/>
      <c r="AI43" s="130"/>
      <c r="AJ43" s="130"/>
      <c r="AK43" s="130"/>
      <c r="AL43" s="130"/>
      <c r="AM43" s="130"/>
      <c r="AN43" s="130"/>
      <c r="AO43" s="130"/>
    </row>
    <row r="44" ht="15.75" customHeight="1">
      <c r="A44" s="131" t="s">
        <v>1465</v>
      </c>
      <c r="B44" s="132">
        <v>19.0</v>
      </c>
      <c r="C44" s="133">
        <v>43.0</v>
      </c>
      <c r="D44" s="133">
        <v>40.0</v>
      </c>
      <c r="E44" s="133">
        <v>46.0</v>
      </c>
      <c r="F44" s="133">
        <v>47.0</v>
      </c>
      <c r="G44" s="133">
        <v>40.0</v>
      </c>
      <c r="H44" s="133">
        <v>58.0</v>
      </c>
      <c r="I44" s="133">
        <v>35.0</v>
      </c>
      <c r="J44" s="133">
        <v>63.0</v>
      </c>
      <c r="K44" s="133">
        <v>41.0</v>
      </c>
      <c r="L44" s="133">
        <v>43.0</v>
      </c>
      <c r="M44" s="133">
        <v>58.0</v>
      </c>
      <c r="N44" s="133">
        <v>31.0</v>
      </c>
      <c r="O44" s="133">
        <v>55.0</v>
      </c>
      <c r="P44" s="133">
        <v>67.0</v>
      </c>
      <c r="Q44" s="133">
        <v>43.0</v>
      </c>
      <c r="R44" s="133">
        <v>58.0</v>
      </c>
      <c r="S44" s="133">
        <v>37.0</v>
      </c>
      <c r="T44" s="133">
        <v>47.0</v>
      </c>
      <c r="U44" s="134">
        <v>61.0</v>
      </c>
      <c r="V44" s="133">
        <v>64.0</v>
      </c>
      <c r="W44" s="130"/>
      <c r="X44" s="130"/>
      <c r="Y44" s="130"/>
      <c r="Z44" s="130"/>
      <c r="AA44" s="130"/>
      <c r="AB44" s="130"/>
      <c r="AC44" s="130"/>
      <c r="AD44" s="130"/>
      <c r="AE44" s="130"/>
      <c r="AF44" s="130"/>
      <c r="AG44" s="130"/>
      <c r="AH44" s="130"/>
      <c r="AI44" s="130"/>
      <c r="AJ44" s="130"/>
      <c r="AK44" s="130"/>
      <c r="AL44" s="130"/>
      <c r="AM44" s="130"/>
      <c r="AN44" s="130"/>
      <c r="AO44" s="130"/>
    </row>
    <row r="45">
      <c r="A45" s="131" t="s">
        <v>1466</v>
      </c>
      <c r="B45" s="132">
        <v>55.0</v>
      </c>
      <c r="C45" s="133">
        <v>61.0</v>
      </c>
      <c r="D45" s="133">
        <v>47.0</v>
      </c>
      <c r="E45" s="133">
        <v>44.0</v>
      </c>
      <c r="F45" s="133">
        <v>62.0</v>
      </c>
      <c r="G45" s="133">
        <v>57.0</v>
      </c>
      <c r="H45" s="133">
        <v>20.0</v>
      </c>
      <c r="I45" s="133">
        <v>25.0</v>
      </c>
      <c r="J45" s="133">
        <v>50.0</v>
      </c>
      <c r="K45" s="133">
        <v>62.0</v>
      </c>
      <c r="L45" s="133">
        <v>47.0</v>
      </c>
      <c r="M45" s="133">
        <v>31.0</v>
      </c>
      <c r="N45" s="133">
        <v>10.0</v>
      </c>
      <c r="O45" s="133">
        <v>34.0</v>
      </c>
      <c r="P45" s="133">
        <v>54.0</v>
      </c>
      <c r="Q45" s="133">
        <v>46.0</v>
      </c>
      <c r="R45" s="133">
        <v>36.0</v>
      </c>
      <c r="S45" s="133">
        <v>55.0</v>
      </c>
      <c r="T45" s="133">
        <v>50.0</v>
      </c>
      <c r="U45" s="134">
        <v>49.0</v>
      </c>
      <c r="V45" s="133">
        <v>62.0</v>
      </c>
      <c r="W45" s="133"/>
      <c r="X45" s="133"/>
      <c r="Y45" s="133"/>
      <c r="Z45" s="133"/>
      <c r="AA45" s="133"/>
      <c r="AB45" s="133"/>
      <c r="AC45" s="130"/>
      <c r="AD45" s="130"/>
      <c r="AE45" s="130"/>
      <c r="AF45" s="130"/>
      <c r="AG45" s="130"/>
      <c r="AH45" s="130"/>
      <c r="AI45" s="130"/>
      <c r="AJ45" s="130"/>
      <c r="AK45" s="130"/>
      <c r="AL45" s="130"/>
      <c r="AM45" s="130"/>
      <c r="AN45" s="130"/>
      <c r="AO45" s="130"/>
    </row>
    <row r="46" hidden="1">
      <c r="A46" s="131" t="s">
        <v>1467</v>
      </c>
      <c r="B46" s="132">
        <v>0.0</v>
      </c>
      <c r="C46" s="133">
        <v>4.0</v>
      </c>
      <c r="D46" s="133">
        <v>35.0</v>
      </c>
      <c r="E46" s="133">
        <v>40.0</v>
      </c>
      <c r="F46" s="133">
        <v>32.0</v>
      </c>
      <c r="G46" s="133">
        <v>34.0</v>
      </c>
      <c r="H46" s="133">
        <v>23.0</v>
      </c>
      <c r="I46" s="133">
        <v>11.0</v>
      </c>
      <c r="J46" s="133">
        <v>36.0</v>
      </c>
      <c r="K46" s="133">
        <v>18.0</v>
      </c>
      <c r="L46" s="133">
        <v>0.0</v>
      </c>
      <c r="M46" s="133">
        <v>8.0</v>
      </c>
      <c r="N46" s="130"/>
      <c r="O46" s="133">
        <v>13.0</v>
      </c>
      <c r="P46" s="130"/>
      <c r="Q46" s="133"/>
      <c r="R46" s="133"/>
      <c r="S46" s="133"/>
      <c r="T46" s="133"/>
      <c r="U46" s="134"/>
      <c r="V46" s="133"/>
      <c r="W46" s="133"/>
      <c r="X46" s="133"/>
      <c r="Y46" s="133"/>
      <c r="Z46" s="133"/>
      <c r="AA46" s="133"/>
      <c r="AB46" s="133"/>
      <c r="AC46" s="130"/>
      <c r="AD46" s="130"/>
      <c r="AE46" s="130"/>
      <c r="AF46" s="130"/>
      <c r="AG46" s="130"/>
      <c r="AH46" s="130"/>
      <c r="AI46" s="130"/>
      <c r="AJ46" s="130"/>
      <c r="AK46" s="130"/>
      <c r="AL46" s="130"/>
      <c r="AM46" s="130"/>
      <c r="AN46" s="130"/>
      <c r="AO46" s="130"/>
    </row>
    <row r="47">
      <c r="A47" s="131" t="s">
        <v>1468</v>
      </c>
      <c r="B47" s="132">
        <v>47.0</v>
      </c>
      <c r="C47" s="133">
        <v>60.0</v>
      </c>
      <c r="D47" s="133">
        <v>49.0</v>
      </c>
      <c r="E47" s="133">
        <v>16.0</v>
      </c>
      <c r="F47" s="133">
        <v>47.0</v>
      </c>
      <c r="G47" s="133">
        <v>48.0</v>
      </c>
      <c r="H47" s="133">
        <v>45.0</v>
      </c>
      <c r="I47" s="133">
        <v>24.0</v>
      </c>
      <c r="J47" s="133">
        <v>65.0</v>
      </c>
      <c r="K47" s="133">
        <v>60.0</v>
      </c>
      <c r="L47" s="133">
        <v>52.0</v>
      </c>
      <c r="M47" s="133">
        <v>61.0</v>
      </c>
      <c r="N47" s="133">
        <v>23.0</v>
      </c>
      <c r="O47" s="133">
        <v>60.0</v>
      </c>
      <c r="P47" s="133">
        <v>59.0</v>
      </c>
      <c r="Q47" s="133">
        <v>55.0</v>
      </c>
      <c r="R47" s="133">
        <v>42.0</v>
      </c>
      <c r="S47" s="133">
        <v>53.0</v>
      </c>
      <c r="T47" s="133">
        <v>65.0</v>
      </c>
      <c r="U47" s="134">
        <v>56.0</v>
      </c>
      <c r="V47" s="133">
        <v>63.0</v>
      </c>
      <c r="W47" s="133"/>
      <c r="X47" s="133"/>
      <c r="Y47" s="133"/>
      <c r="Z47" s="133"/>
      <c r="AA47" s="133"/>
      <c r="AB47" s="133"/>
      <c r="AC47" s="130"/>
      <c r="AD47" s="130"/>
      <c r="AE47" s="130"/>
      <c r="AF47" s="130"/>
      <c r="AG47" s="130"/>
      <c r="AH47" s="130"/>
      <c r="AI47" s="130"/>
      <c r="AJ47" s="130"/>
      <c r="AK47" s="130"/>
      <c r="AL47" s="130"/>
      <c r="AM47" s="130"/>
      <c r="AN47" s="130"/>
      <c r="AO47" s="130"/>
    </row>
    <row r="48">
      <c r="A48" s="131" t="s">
        <v>1469</v>
      </c>
      <c r="B48" s="132"/>
      <c r="C48" s="133"/>
      <c r="D48" s="133"/>
      <c r="E48" s="133"/>
      <c r="F48" s="133"/>
      <c r="G48" s="133"/>
      <c r="H48" s="133"/>
      <c r="I48" s="133"/>
      <c r="J48" s="133"/>
      <c r="K48" s="133"/>
      <c r="L48" s="133"/>
      <c r="M48" s="133"/>
      <c r="N48" s="133"/>
      <c r="O48" s="133"/>
      <c r="P48" s="133"/>
      <c r="Q48" s="133"/>
      <c r="R48" s="133"/>
      <c r="S48" s="133">
        <v>19.0</v>
      </c>
      <c r="T48" s="133">
        <v>23.0</v>
      </c>
      <c r="U48" s="134">
        <v>21.0</v>
      </c>
      <c r="V48" s="133">
        <v>49.0</v>
      </c>
      <c r="W48" s="133"/>
      <c r="X48" s="133"/>
      <c r="Y48" s="133"/>
      <c r="Z48" s="133"/>
      <c r="AA48" s="133"/>
      <c r="AB48" s="133"/>
      <c r="AC48" s="130"/>
      <c r="AD48" s="130"/>
      <c r="AE48" s="130"/>
      <c r="AF48" s="130"/>
      <c r="AG48" s="130"/>
      <c r="AH48" s="130"/>
      <c r="AI48" s="130"/>
      <c r="AJ48" s="130"/>
      <c r="AK48" s="130"/>
      <c r="AL48" s="130"/>
      <c r="AM48" s="130"/>
      <c r="AN48" s="130"/>
      <c r="AO48" s="130"/>
    </row>
    <row r="49">
      <c r="A49" s="131" t="s">
        <v>1470</v>
      </c>
      <c r="B49" s="132">
        <v>11.0</v>
      </c>
      <c r="C49" s="133">
        <v>10.0</v>
      </c>
      <c r="D49" s="133">
        <v>8.0</v>
      </c>
      <c r="E49" s="133">
        <v>13.0</v>
      </c>
      <c r="F49" s="133">
        <v>13.0</v>
      </c>
      <c r="G49" s="133">
        <v>15.0</v>
      </c>
      <c r="H49" s="133">
        <v>16.0</v>
      </c>
      <c r="I49" s="133">
        <v>13.0</v>
      </c>
      <c r="J49" s="133">
        <v>13.0</v>
      </c>
      <c r="K49" s="133">
        <v>13.0</v>
      </c>
      <c r="L49" s="133">
        <v>13.0</v>
      </c>
      <c r="M49" s="133">
        <v>13.0</v>
      </c>
      <c r="N49" s="133">
        <v>3.0</v>
      </c>
      <c r="O49" s="133">
        <v>13.0</v>
      </c>
      <c r="P49" s="133">
        <v>14.0</v>
      </c>
      <c r="Q49" s="133">
        <v>14.0</v>
      </c>
      <c r="R49" s="133">
        <v>13.0</v>
      </c>
      <c r="S49" s="133">
        <v>18.0</v>
      </c>
      <c r="T49" s="133">
        <v>8.0</v>
      </c>
      <c r="U49" s="134">
        <v>12.0</v>
      </c>
      <c r="V49" s="133">
        <v>6.0</v>
      </c>
      <c r="W49" s="133"/>
      <c r="X49" s="133"/>
      <c r="Y49" s="133"/>
      <c r="Z49" s="133"/>
      <c r="AA49" s="133"/>
      <c r="AB49" s="133"/>
      <c r="AC49" s="130"/>
      <c r="AD49" s="130"/>
      <c r="AE49" s="130"/>
      <c r="AF49" s="130"/>
      <c r="AG49" s="130"/>
      <c r="AH49" s="130"/>
      <c r="AI49" s="130"/>
      <c r="AJ49" s="130"/>
      <c r="AK49" s="130"/>
      <c r="AL49" s="130"/>
      <c r="AM49" s="130"/>
      <c r="AN49" s="130"/>
      <c r="AO49" s="130"/>
    </row>
    <row r="50">
      <c r="A50" s="131" t="s">
        <v>1471</v>
      </c>
      <c r="B50" s="132">
        <v>35.0</v>
      </c>
      <c r="C50" s="133">
        <v>42.0</v>
      </c>
      <c r="D50" s="133">
        <v>30.0</v>
      </c>
      <c r="E50" s="133">
        <v>50.0</v>
      </c>
      <c r="F50" s="133">
        <v>53.0</v>
      </c>
      <c r="G50" s="133">
        <v>46.0</v>
      </c>
      <c r="H50" s="133">
        <v>45.0</v>
      </c>
      <c r="I50" s="133">
        <v>32.0</v>
      </c>
      <c r="J50" s="133">
        <v>43.0</v>
      </c>
      <c r="K50" s="133">
        <v>16.0</v>
      </c>
      <c r="L50" s="133">
        <v>43.0</v>
      </c>
      <c r="M50" s="133">
        <v>43.0</v>
      </c>
      <c r="N50" s="133">
        <v>18.0</v>
      </c>
      <c r="O50" s="133">
        <v>41.0</v>
      </c>
      <c r="P50" s="133">
        <v>45.0</v>
      </c>
      <c r="Q50" s="133">
        <v>47.0</v>
      </c>
      <c r="R50" s="133">
        <v>26.0</v>
      </c>
      <c r="S50" s="133">
        <v>21.0</v>
      </c>
      <c r="T50" s="133">
        <v>40.0</v>
      </c>
      <c r="U50" s="134">
        <v>56.0</v>
      </c>
      <c r="V50" s="133">
        <v>3.0</v>
      </c>
      <c r="W50" s="133"/>
      <c r="X50" s="133"/>
      <c r="Y50" s="133"/>
      <c r="Z50" s="133"/>
      <c r="AA50" s="133"/>
      <c r="AB50" s="133"/>
      <c r="AC50" s="130"/>
      <c r="AD50" s="130"/>
      <c r="AE50" s="130"/>
      <c r="AF50" s="130"/>
      <c r="AG50" s="130"/>
      <c r="AH50" s="130"/>
      <c r="AI50" s="130"/>
      <c r="AJ50" s="130"/>
      <c r="AK50" s="130"/>
      <c r="AL50" s="130"/>
      <c r="AM50" s="130"/>
      <c r="AN50" s="130"/>
      <c r="AO50" s="130"/>
    </row>
    <row r="51">
      <c r="A51" s="131" t="s">
        <v>1472</v>
      </c>
      <c r="B51" s="132">
        <v>43.0</v>
      </c>
      <c r="C51" s="133">
        <v>45.0</v>
      </c>
      <c r="D51" s="133">
        <v>15.0</v>
      </c>
      <c r="E51" s="133">
        <v>43.0</v>
      </c>
      <c r="F51" s="133">
        <v>47.0</v>
      </c>
      <c r="G51" s="133">
        <v>45.0</v>
      </c>
      <c r="H51" s="133">
        <v>21.0</v>
      </c>
      <c r="I51" s="133">
        <v>29.0</v>
      </c>
      <c r="J51" s="133">
        <v>50.0</v>
      </c>
      <c r="K51" s="133">
        <v>49.0</v>
      </c>
      <c r="L51" s="133">
        <v>41.0</v>
      </c>
      <c r="M51" s="133">
        <v>42.0</v>
      </c>
      <c r="N51" s="133">
        <v>29.0</v>
      </c>
      <c r="O51" s="133">
        <v>47.0</v>
      </c>
      <c r="P51" s="133">
        <v>45.0</v>
      </c>
      <c r="Q51" s="133">
        <v>47.0</v>
      </c>
      <c r="R51" s="133">
        <v>28.0</v>
      </c>
      <c r="S51" s="133">
        <v>36.0</v>
      </c>
      <c r="T51" s="133">
        <v>26.0</v>
      </c>
      <c r="U51" s="134">
        <v>34.0</v>
      </c>
      <c r="V51" s="133">
        <v>54.0</v>
      </c>
      <c r="W51" s="133"/>
      <c r="X51" s="133"/>
      <c r="Y51" s="133"/>
      <c r="Z51" s="133"/>
      <c r="AA51" s="133"/>
      <c r="AB51" s="133"/>
      <c r="AC51" s="130"/>
      <c r="AD51" s="130"/>
      <c r="AE51" s="130"/>
      <c r="AF51" s="130"/>
      <c r="AG51" s="130"/>
      <c r="AH51" s="130"/>
      <c r="AI51" s="130"/>
      <c r="AJ51" s="130"/>
      <c r="AK51" s="130"/>
      <c r="AL51" s="130"/>
      <c r="AM51" s="130"/>
      <c r="AN51" s="130"/>
      <c r="AO51" s="130"/>
    </row>
    <row r="52" hidden="1">
      <c r="A52" s="131" t="s">
        <v>1473</v>
      </c>
      <c r="B52" s="132">
        <v>34.0</v>
      </c>
      <c r="C52" s="133">
        <v>24.0</v>
      </c>
      <c r="D52" s="133">
        <v>30.0</v>
      </c>
      <c r="E52" s="133">
        <v>32.0</v>
      </c>
      <c r="F52" s="133">
        <v>30.0</v>
      </c>
      <c r="G52" s="133">
        <v>29.0</v>
      </c>
      <c r="H52" s="133">
        <v>35.0</v>
      </c>
      <c r="I52" s="133">
        <v>14.0</v>
      </c>
      <c r="J52" s="133">
        <v>29.0</v>
      </c>
      <c r="K52" s="133">
        <v>9.0</v>
      </c>
      <c r="L52" s="130"/>
      <c r="M52" s="130"/>
      <c r="N52" s="130"/>
      <c r="O52" s="130"/>
      <c r="P52" s="130"/>
      <c r="Q52" s="133"/>
      <c r="R52" s="133"/>
      <c r="S52" s="133"/>
      <c r="T52" s="133"/>
      <c r="U52" s="134"/>
      <c r="V52" s="133"/>
      <c r="W52" s="133"/>
      <c r="X52" s="133"/>
      <c r="Y52" s="133"/>
      <c r="Z52" s="133"/>
      <c r="AA52" s="133"/>
      <c r="AB52" s="133"/>
      <c r="AC52" s="130"/>
      <c r="AD52" s="130"/>
      <c r="AE52" s="130"/>
      <c r="AF52" s="130"/>
      <c r="AG52" s="130"/>
      <c r="AH52" s="130"/>
      <c r="AI52" s="130"/>
      <c r="AJ52" s="130"/>
      <c r="AK52" s="130"/>
      <c r="AL52" s="130"/>
      <c r="AM52" s="130"/>
      <c r="AN52" s="130"/>
      <c r="AO52" s="130"/>
    </row>
    <row r="53">
      <c r="A53" s="131" t="s">
        <v>1474</v>
      </c>
      <c r="B53" s="132">
        <v>8.0</v>
      </c>
      <c r="C53" s="133">
        <v>5.0</v>
      </c>
      <c r="D53" s="133">
        <v>10.0</v>
      </c>
      <c r="E53" s="133">
        <v>8.0</v>
      </c>
      <c r="F53" s="133">
        <v>8.0</v>
      </c>
      <c r="G53" s="133">
        <v>8.0</v>
      </c>
      <c r="H53" s="133">
        <v>12.0</v>
      </c>
      <c r="I53" s="133">
        <v>5.0</v>
      </c>
      <c r="J53" s="133">
        <v>5.0</v>
      </c>
      <c r="K53" s="133">
        <v>8.0</v>
      </c>
      <c r="L53" s="133">
        <v>11.0</v>
      </c>
      <c r="M53" s="133">
        <v>11.0</v>
      </c>
      <c r="N53" s="133">
        <v>5.0</v>
      </c>
      <c r="O53" s="133">
        <v>14.0</v>
      </c>
      <c r="P53" s="133">
        <v>9.0</v>
      </c>
      <c r="Q53" s="133">
        <v>8.0</v>
      </c>
      <c r="R53" s="133">
        <v>8.0</v>
      </c>
      <c r="S53" s="133">
        <v>5.0</v>
      </c>
      <c r="T53" s="133">
        <v>8.0</v>
      </c>
      <c r="U53" s="134">
        <v>8.0</v>
      </c>
      <c r="V53" s="133">
        <v>0.0</v>
      </c>
      <c r="W53" s="133"/>
      <c r="X53" s="133"/>
      <c r="Y53" s="133"/>
      <c r="Z53" s="133"/>
      <c r="AA53" s="133"/>
      <c r="AB53" s="133"/>
      <c r="AC53" s="130"/>
      <c r="AD53" s="130"/>
      <c r="AE53" s="130"/>
      <c r="AF53" s="130"/>
      <c r="AG53" s="130"/>
      <c r="AH53" s="130"/>
      <c r="AI53" s="130"/>
      <c r="AJ53" s="130"/>
      <c r="AK53" s="130"/>
      <c r="AL53" s="130"/>
      <c r="AM53" s="130"/>
      <c r="AN53" s="130"/>
      <c r="AO53" s="130"/>
    </row>
    <row r="54" hidden="1">
      <c r="A54" s="131" t="s">
        <v>632</v>
      </c>
      <c r="B54" s="132">
        <v>44.0</v>
      </c>
      <c r="C54" s="133">
        <v>36.0</v>
      </c>
      <c r="D54" s="133">
        <v>46.0</v>
      </c>
      <c r="E54" s="133">
        <v>8.0</v>
      </c>
      <c r="F54" s="133">
        <v>41.0</v>
      </c>
      <c r="G54" s="133">
        <v>58.0</v>
      </c>
      <c r="H54" s="133"/>
      <c r="I54" s="130"/>
      <c r="J54" s="130"/>
      <c r="K54" s="130"/>
      <c r="L54" s="130"/>
      <c r="M54" s="130"/>
      <c r="N54" s="130"/>
      <c r="O54" s="130"/>
      <c r="P54" s="130"/>
      <c r="Q54" s="133"/>
      <c r="R54" s="133"/>
      <c r="S54" s="133"/>
      <c r="T54" s="133"/>
      <c r="U54" s="134"/>
      <c r="V54" s="133"/>
      <c r="W54" s="133"/>
      <c r="X54" s="133"/>
      <c r="Y54" s="133"/>
      <c r="Z54" s="133"/>
      <c r="AA54" s="133"/>
      <c r="AB54" s="133"/>
      <c r="AC54" s="130"/>
      <c r="AD54" s="130"/>
      <c r="AE54" s="130"/>
      <c r="AF54" s="130"/>
      <c r="AG54" s="130"/>
      <c r="AH54" s="130"/>
      <c r="AI54" s="130"/>
      <c r="AJ54" s="130"/>
      <c r="AK54" s="130"/>
      <c r="AL54" s="130"/>
      <c r="AM54" s="130"/>
      <c r="AN54" s="130"/>
      <c r="AO54" s="130"/>
    </row>
    <row r="55" hidden="1">
      <c r="A55" s="131" t="s">
        <v>1475</v>
      </c>
      <c r="B55" s="132">
        <v>8.0</v>
      </c>
      <c r="C55" s="133">
        <v>8.0</v>
      </c>
      <c r="D55" s="133">
        <v>3.0</v>
      </c>
      <c r="E55" s="133">
        <v>8.0</v>
      </c>
      <c r="F55" s="130"/>
      <c r="G55" s="130"/>
      <c r="H55" s="130"/>
      <c r="I55" s="130"/>
      <c r="J55" s="130"/>
      <c r="K55" s="130"/>
      <c r="L55" s="130"/>
      <c r="M55" s="130"/>
      <c r="N55" s="130"/>
      <c r="O55" s="130"/>
      <c r="P55" s="130"/>
      <c r="Q55" s="133"/>
      <c r="R55" s="133"/>
      <c r="S55" s="133"/>
      <c r="T55" s="133"/>
      <c r="U55" s="134"/>
      <c r="V55" s="133"/>
      <c r="W55" s="133"/>
      <c r="X55" s="133"/>
      <c r="Y55" s="133"/>
      <c r="Z55" s="133"/>
      <c r="AA55" s="133"/>
      <c r="AB55" s="133"/>
      <c r="AC55" s="130"/>
      <c r="AD55" s="130"/>
      <c r="AE55" s="130"/>
      <c r="AF55" s="130"/>
      <c r="AG55" s="130"/>
      <c r="AH55" s="130"/>
      <c r="AI55" s="130"/>
      <c r="AJ55" s="130"/>
      <c r="AK55" s="130"/>
      <c r="AL55" s="130"/>
      <c r="AM55" s="130"/>
      <c r="AN55" s="130"/>
      <c r="AO55" s="130"/>
    </row>
    <row r="56" hidden="1">
      <c r="A56" s="131" t="s">
        <v>1476</v>
      </c>
      <c r="B56" s="132">
        <v>47.0</v>
      </c>
      <c r="C56" s="133">
        <v>41.0</v>
      </c>
      <c r="D56" s="133">
        <v>31.0</v>
      </c>
      <c r="E56" s="133">
        <v>35.0</v>
      </c>
      <c r="F56" s="133">
        <v>32.0</v>
      </c>
      <c r="G56" s="133">
        <v>31.0</v>
      </c>
      <c r="H56" s="133">
        <v>32.0</v>
      </c>
      <c r="I56" s="133">
        <v>11.0</v>
      </c>
      <c r="J56" s="133">
        <v>34.0</v>
      </c>
      <c r="K56" s="133">
        <v>33.0</v>
      </c>
      <c r="L56" s="133">
        <v>34.0</v>
      </c>
      <c r="M56" s="133">
        <v>13.0</v>
      </c>
      <c r="N56" s="133">
        <v>0.0</v>
      </c>
      <c r="O56" s="130"/>
      <c r="P56" s="130"/>
      <c r="Q56" s="133"/>
      <c r="R56" s="133"/>
      <c r="S56" s="133"/>
      <c r="T56" s="133"/>
      <c r="U56" s="134"/>
      <c r="V56" s="133"/>
      <c r="W56" s="133"/>
      <c r="X56" s="133"/>
      <c r="Y56" s="133"/>
      <c r="Z56" s="133"/>
      <c r="AA56" s="133"/>
      <c r="AB56" s="133"/>
      <c r="AC56" s="130"/>
      <c r="AD56" s="130"/>
      <c r="AE56" s="130"/>
      <c r="AF56" s="130"/>
      <c r="AG56" s="130"/>
      <c r="AH56" s="130"/>
      <c r="AI56" s="130"/>
      <c r="AJ56" s="130"/>
      <c r="AK56" s="130"/>
      <c r="AL56" s="130"/>
      <c r="AM56" s="130"/>
      <c r="AN56" s="130"/>
      <c r="AO56" s="130"/>
    </row>
    <row r="57">
      <c r="A57" s="131" t="s">
        <v>1477</v>
      </c>
      <c r="B57" s="132">
        <v>53.0</v>
      </c>
      <c r="C57" s="133">
        <v>46.0</v>
      </c>
      <c r="D57" s="133">
        <v>49.0</v>
      </c>
      <c r="E57" s="133">
        <v>55.0</v>
      </c>
      <c r="F57" s="133">
        <v>50.0</v>
      </c>
      <c r="G57" s="133">
        <v>63.0</v>
      </c>
      <c r="H57" s="133">
        <v>46.0</v>
      </c>
      <c r="I57" s="133">
        <v>28.0</v>
      </c>
      <c r="J57" s="133">
        <v>68.0</v>
      </c>
      <c r="K57" s="133">
        <v>56.0</v>
      </c>
      <c r="L57" s="133">
        <v>36.0</v>
      </c>
      <c r="M57" s="133">
        <v>39.0</v>
      </c>
      <c r="N57" s="133">
        <v>31.0</v>
      </c>
      <c r="O57" s="133">
        <v>49.0</v>
      </c>
      <c r="P57" s="133">
        <v>61.0</v>
      </c>
      <c r="Q57" s="133">
        <v>48.0</v>
      </c>
      <c r="R57" s="133">
        <v>37.0</v>
      </c>
      <c r="S57" s="133">
        <v>55.0</v>
      </c>
      <c r="T57" s="133">
        <v>77.0</v>
      </c>
      <c r="U57" s="134">
        <v>63.0</v>
      </c>
      <c r="V57" s="133">
        <v>63.0</v>
      </c>
      <c r="W57" s="133"/>
      <c r="X57" s="133"/>
      <c r="Y57" s="133"/>
      <c r="Z57" s="133"/>
      <c r="AA57" s="133"/>
      <c r="AB57" s="133"/>
      <c r="AC57" s="130"/>
      <c r="AD57" s="130"/>
      <c r="AE57" s="130"/>
      <c r="AF57" s="130"/>
      <c r="AG57" s="130"/>
      <c r="AH57" s="130"/>
      <c r="AI57" s="130"/>
      <c r="AJ57" s="130"/>
      <c r="AK57" s="130"/>
      <c r="AL57" s="130"/>
      <c r="AM57" s="130"/>
      <c r="AN57" s="130"/>
      <c r="AO57" s="130"/>
    </row>
    <row r="58" hidden="1">
      <c r="A58" s="131" t="s">
        <v>1478</v>
      </c>
      <c r="B58" s="132">
        <v>15.0</v>
      </c>
      <c r="C58" s="133">
        <v>29.0</v>
      </c>
      <c r="D58" s="133">
        <v>34.0</v>
      </c>
      <c r="E58" s="133">
        <v>32.0</v>
      </c>
      <c r="F58" s="133">
        <v>47.0</v>
      </c>
      <c r="G58" s="133">
        <v>39.0</v>
      </c>
      <c r="H58" s="133">
        <v>38.0</v>
      </c>
      <c r="I58" s="133">
        <v>16.0</v>
      </c>
      <c r="J58" s="133">
        <v>32.0</v>
      </c>
      <c r="K58" s="133">
        <v>34.0</v>
      </c>
      <c r="L58" s="133">
        <v>39.0</v>
      </c>
      <c r="M58" s="133">
        <v>40.0</v>
      </c>
      <c r="N58" s="133">
        <v>21.0</v>
      </c>
      <c r="O58" s="133">
        <v>31.0</v>
      </c>
      <c r="P58" s="133">
        <v>39.0</v>
      </c>
      <c r="Q58" s="133">
        <v>37.0</v>
      </c>
      <c r="R58" s="133">
        <v>0.0</v>
      </c>
      <c r="S58" s="133">
        <v>32.0</v>
      </c>
      <c r="T58" s="133">
        <v>34.0</v>
      </c>
      <c r="U58" s="134"/>
      <c r="V58" s="133"/>
      <c r="W58" s="133"/>
      <c r="X58" s="133"/>
      <c r="Y58" s="133"/>
      <c r="Z58" s="133"/>
      <c r="AA58" s="133"/>
      <c r="AB58" s="133"/>
      <c r="AC58" s="130"/>
      <c r="AD58" s="130"/>
      <c r="AE58" s="130"/>
      <c r="AF58" s="130"/>
      <c r="AG58" s="130"/>
      <c r="AH58" s="130"/>
      <c r="AI58" s="130"/>
      <c r="AJ58" s="130"/>
      <c r="AK58" s="130"/>
      <c r="AL58" s="130"/>
      <c r="AM58" s="130"/>
      <c r="AN58" s="130"/>
      <c r="AO58" s="130"/>
    </row>
    <row r="59">
      <c r="A59" s="131" t="s">
        <v>1479</v>
      </c>
      <c r="B59" s="132">
        <v>5.0</v>
      </c>
      <c r="C59" s="133">
        <v>5.0</v>
      </c>
      <c r="D59" s="133">
        <v>10.0</v>
      </c>
      <c r="E59" s="133">
        <v>8.0</v>
      </c>
      <c r="F59" s="133">
        <v>8.0</v>
      </c>
      <c r="G59" s="133">
        <v>8.0</v>
      </c>
      <c r="H59" s="133">
        <v>11.0</v>
      </c>
      <c r="I59" s="133">
        <v>6.0</v>
      </c>
      <c r="J59" s="133">
        <v>6.0</v>
      </c>
      <c r="K59" s="133">
        <v>11.0</v>
      </c>
      <c r="L59" s="133">
        <v>8.0</v>
      </c>
      <c r="M59" s="133">
        <v>9.0</v>
      </c>
      <c r="N59" s="133">
        <v>5.0</v>
      </c>
      <c r="O59" s="133">
        <v>8.0</v>
      </c>
      <c r="P59" s="133">
        <v>8.0</v>
      </c>
      <c r="Q59" s="133">
        <v>13.0</v>
      </c>
      <c r="R59" s="133">
        <v>5.0</v>
      </c>
      <c r="S59" s="133">
        <v>9.0</v>
      </c>
      <c r="T59" s="133">
        <v>8.0</v>
      </c>
      <c r="U59" s="134">
        <v>13.0</v>
      </c>
      <c r="V59" s="133">
        <v>8.0</v>
      </c>
      <c r="W59" s="133"/>
      <c r="X59" s="133"/>
      <c r="Y59" s="133"/>
      <c r="Z59" s="133"/>
      <c r="AA59" s="133"/>
      <c r="AB59" s="133"/>
      <c r="AC59" s="130"/>
      <c r="AD59" s="130"/>
      <c r="AE59" s="130"/>
      <c r="AF59" s="130"/>
      <c r="AG59" s="130"/>
      <c r="AH59" s="130"/>
      <c r="AI59" s="130"/>
      <c r="AJ59" s="130"/>
      <c r="AK59" s="130"/>
      <c r="AL59" s="130"/>
      <c r="AM59" s="130"/>
      <c r="AN59" s="130"/>
      <c r="AO59" s="130"/>
    </row>
    <row r="60">
      <c r="A60" s="131" t="s">
        <v>1480</v>
      </c>
      <c r="B60" s="132"/>
      <c r="C60" s="133"/>
      <c r="D60" s="133"/>
      <c r="E60" s="133"/>
      <c r="F60" s="133"/>
      <c r="G60" s="133"/>
      <c r="H60" s="133"/>
      <c r="I60" s="133"/>
      <c r="J60" s="133"/>
      <c r="K60" s="133"/>
      <c r="L60" s="133"/>
      <c r="M60" s="133"/>
      <c r="N60" s="133"/>
      <c r="O60" s="133">
        <v>2.0</v>
      </c>
      <c r="P60" s="133">
        <v>3.0</v>
      </c>
      <c r="Q60" s="133">
        <v>5.0</v>
      </c>
      <c r="R60" s="133">
        <v>8.0</v>
      </c>
      <c r="S60" s="133">
        <v>5.0</v>
      </c>
      <c r="T60" s="133">
        <v>5.0</v>
      </c>
      <c r="U60" s="134">
        <v>7.0</v>
      </c>
      <c r="V60" s="133">
        <v>6.0</v>
      </c>
      <c r="W60" s="133"/>
      <c r="X60" s="133"/>
      <c r="Y60" s="133"/>
      <c r="Z60" s="133"/>
      <c r="AA60" s="133"/>
      <c r="AB60" s="133"/>
      <c r="AC60" s="130"/>
      <c r="AD60" s="130"/>
      <c r="AE60" s="130"/>
      <c r="AF60" s="130"/>
      <c r="AG60" s="130"/>
      <c r="AH60" s="130"/>
      <c r="AI60" s="130"/>
      <c r="AJ60" s="130"/>
      <c r="AK60" s="130"/>
      <c r="AL60" s="130"/>
      <c r="AM60" s="130"/>
      <c r="AN60" s="130"/>
      <c r="AO60" s="130"/>
    </row>
    <row r="61">
      <c r="A61" s="131" t="s">
        <v>1481</v>
      </c>
      <c r="B61" s="132"/>
      <c r="C61" s="133"/>
      <c r="D61" s="133"/>
      <c r="E61" s="133"/>
      <c r="F61" s="133"/>
      <c r="G61" s="133"/>
      <c r="H61" s="133"/>
      <c r="I61" s="133"/>
      <c r="J61" s="133"/>
      <c r="K61" s="133"/>
      <c r="L61" s="133"/>
      <c r="M61" s="133"/>
      <c r="N61" s="133"/>
      <c r="O61" s="133">
        <v>42.0</v>
      </c>
      <c r="P61" s="133">
        <v>41.0</v>
      </c>
      <c r="Q61" s="133">
        <v>23.0</v>
      </c>
      <c r="R61" s="133">
        <v>17.0</v>
      </c>
      <c r="S61" s="133">
        <v>37.0</v>
      </c>
      <c r="T61" s="133">
        <v>55.0</v>
      </c>
      <c r="U61" s="134">
        <v>59.0</v>
      </c>
      <c r="V61" s="133">
        <v>50.0</v>
      </c>
      <c r="W61" s="133"/>
      <c r="X61" s="133"/>
      <c r="Y61" s="133"/>
      <c r="Z61" s="133"/>
      <c r="AA61" s="133"/>
      <c r="AB61" s="133"/>
      <c r="AC61" s="130"/>
      <c r="AD61" s="130"/>
      <c r="AE61" s="130"/>
      <c r="AF61" s="130"/>
      <c r="AG61" s="130"/>
      <c r="AH61" s="130"/>
      <c r="AI61" s="130"/>
      <c r="AJ61" s="130"/>
      <c r="AK61" s="130"/>
      <c r="AL61" s="130"/>
      <c r="AM61" s="130"/>
      <c r="AN61" s="130"/>
      <c r="AO61" s="130"/>
    </row>
    <row r="62">
      <c r="A62" s="126" t="s">
        <v>46</v>
      </c>
      <c r="B62" s="127"/>
      <c r="C62" s="128"/>
      <c r="D62" s="128"/>
      <c r="E62" s="128"/>
      <c r="F62" s="128"/>
      <c r="G62" s="128"/>
      <c r="H62" s="128"/>
      <c r="I62" s="128"/>
      <c r="J62" s="128"/>
      <c r="K62" s="128"/>
      <c r="L62" s="128"/>
      <c r="M62" s="128"/>
      <c r="N62" s="128"/>
      <c r="O62" s="128"/>
      <c r="P62" s="128"/>
      <c r="Q62" s="128"/>
      <c r="R62" s="128"/>
      <c r="S62" s="128"/>
      <c r="T62" s="128"/>
      <c r="U62" s="129"/>
      <c r="V62" s="128"/>
      <c r="W62" s="128"/>
      <c r="X62" s="128"/>
      <c r="Y62" s="128"/>
      <c r="Z62" s="128"/>
      <c r="AA62" s="128"/>
      <c r="AB62" s="128"/>
      <c r="AC62" s="128"/>
      <c r="AD62" s="130"/>
      <c r="AE62" s="130"/>
      <c r="AF62" s="130"/>
      <c r="AG62" s="130"/>
      <c r="AH62" s="130"/>
      <c r="AI62" s="130"/>
      <c r="AJ62" s="130"/>
      <c r="AK62" s="130"/>
      <c r="AL62" s="130"/>
      <c r="AM62" s="130"/>
      <c r="AN62" s="130"/>
      <c r="AO62" s="130"/>
    </row>
    <row r="63">
      <c r="A63" s="131" t="s">
        <v>1464</v>
      </c>
      <c r="B63" s="132">
        <v>0.0</v>
      </c>
      <c r="C63" s="133">
        <v>46.0</v>
      </c>
      <c r="D63" s="133">
        <v>49.0</v>
      </c>
      <c r="E63" s="133">
        <v>73.0</v>
      </c>
      <c r="F63" s="133">
        <v>41.0</v>
      </c>
      <c r="G63" s="133">
        <v>50.0</v>
      </c>
      <c r="H63" s="133">
        <v>56.0</v>
      </c>
      <c r="I63" s="133">
        <v>30.0</v>
      </c>
      <c r="J63" s="133">
        <v>56.0</v>
      </c>
      <c r="K63" s="133">
        <v>73.0</v>
      </c>
      <c r="L63" s="133">
        <v>13.0</v>
      </c>
      <c r="M63" s="133">
        <v>48.0</v>
      </c>
      <c r="N63" s="133">
        <v>40.0</v>
      </c>
      <c r="O63" s="133">
        <v>63.0</v>
      </c>
      <c r="P63" s="133">
        <v>48.0</v>
      </c>
      <c r="Q63" s="133">
        <v>31.0</v>
      </c>
      <c r="R63" s="133">
        <v>27.0</v>
      </c>
      <c r="S63" s="133">
        <v>45.0</v>
      </c>
      <c r="T63" s="133">
        <v>60.0</v>
      </c>
      <c r="U63" s="134">
        <v>6.0</v>
      </c>
      <c r="V63" s="133">
        <v>17.0</v>
      </c>
      <c r="W63" s="133"/>
      <c r="X63" s="133"/>
      <c r="Y63" s="133"/>
      <c r="Z63" s="133"/>
      <c r="AA63" s="133"/>
      <c r="AB63" s="130"/>
      <c r="AC63" s="130"/>
      <c r="AD63" s="130"/>
      <c r="AE63" s="130"/>
      <c r="AF63" s="130"/>
      <c r="AG63" s="130"/>
      <c r="AH63" s="130"/>
      <c r="AI63" s="130"/>
      <c r="AJ63" s="130"/>
      <c r="AK63" s="130"/>
      <c r="AL63" s="130"/>
      <c r="AM63" s="130"/>
      <c r="AN63" s="130"/>
      <c r="AO63" s="130"/>
    </row>
    <row r="64">
      <c r="A64" s="131" t="s">
        <v>1465</v>
      </c>
      <c r="B64" s="132">
        <v>13.0</v>
      </c>
      <c r="C64" s="133">
        <v>8.0</v>
      </c>
      <c r="D64" s="133">
        <v>27.0</v>
      </c>
      <c r="E64" s="133">
        <v>12.0</v>
      </c>
      <c r="F64" s="133">
        <v>47.0</v>
      </c>
      <c r="G64" s="133">
        <v>6.0</v>
      </c>
      <c r="H64" s="133">
        <v>8.0</v>
      </c>
      <c r="I64" s="133">
        <v>35.0</v>
      </c>
      <c r="J64" s="133">
        <v>63.0</v>
      </c>
      <c r="K64" s="133">
        <v>7.0</v>
      </c>
      <c r="L64" s="133">
        <v>35.0</v>
      </c>
      <c r="M64" s="133">
        <v>58.0</v>
      </c>
      <c r="N64" s="133">
        <v>33.0</v>
      </c>
      <c r="O64" s="133">
        <v>36.0</v>
      </c>
      <c r="P64" s="133">
        <v>64.0</v>
      </c>
      <c r="Q64" s="133">
        <v>40.0</v>
      </c>
      <c r="R64" s="133">
        <v>55.0</v>
      </c>
      <c r="S64" s="133">
        <v>37.0</v>
      </c>
      <c r="T64" s="133">
        <v>52.0</v>
      </c>
      <c r="U64" s="134">
        <v>58.0</v>
      </c>
      <c r="V64" s="133">
        <v>44.0</v>
      </c>
      <c r="W64" s="130"/>
      <c r="X64" s="130"/>
      <c r="Y64" s="130"/>
      <c r="Z64" s="130"/>
      <c r="AA64" s="130"/>
      <c r="AB64" s="130"/>
      <c r="AC64" s="130"/>
      <c r="AD64" s="130"/>
      <c r="AE64" s="130"/>
      <c r="AF64" s="130"/>
      <c r="AG64" s="130"/>
      <c r="AH64" s="130"/>
      <c r="AI64" s="130"/>
      <c r="AJ64" s="130"/>
      <c r="AK64" s="130"/>
      <c r="AL64" s="130"/>
      <c r="AM64" s="130"/>
      <c r="AN64" s="130"/>
      <c r="AO64" s="130"/>
    </row>
    <row r="65">
      <c r="A65" s="131" t="s">
        <v>1466</v>
      </c>
      <c r="B65" s="137">
        <v>55.0</v>
      </c>
      <c r="C65" s="133">
        <v>31.0</v>
      </c>
      <c r="D65" s="133">
        <v>17.0</v>
      </c>
      <c r="E65" s="133">
        <v>44.0</v>
      </c>
      <c r="F65" s="133">
        <v>88.0</v>
      </c>
      <c r="G65" s="133">
        <v>54.0</v>
      </c>
      <c r="H65" s="133">
        <v>18.0</v>
      </c>
      <c r="I65" s="133">
        <v>30.0</v>
      </c>
      <c r="J65" s="133">
        <v>61.0</v>
      </c>
      <c r="K65" s="133">
        <v>57.0</v>
      </c>
      <c r="L65" s="133">
        <v>47.0</v>
      </c>
      <c r="M65" s="133">
        <v>32.0</v>
      </c>
      <c r="N65" s="133">
        <v>10.0</v>
      </c>
      <c r="O65" s="133">
        <v>35.0</v>
      </c>
      <c r="P65" s="133">
        <v>57.0</v>
      </c>
      <c r="Q65" s="133">
        <v>75.0</v>
      </c>
      <c r="R65" s="133">
        <v>49.0</v>
      </c>
      <c r="S65" s="133">
        <v>70.0</v>
      </c>
      <c r="T65" s="133">
        <v>30.0</v>
      </c>
      <c r="U65" s="134">
        <v>41.0</v>
      </c>
      <c r="V65" s="133">
        <v>36.0</v>
      </c>
      <c r="W65" s="130"/>
      <c r="X65" s="130"/>
      <c r="Y65" s="130"/>
      <c r="Z65" s="130"/>
      <c r="AA65" s="130"/>
      <c r="AB65" s="130"/>
      <c r="AC65" s="130"/>
      <c r="AD65" s="130"/>
      <c r="AE65" s="130"/>
      <c r="AF65" s="130"/>
      <c r="AG65" s="130"/>
      <c r="AH65" s="130"/>
      <c r="AI65" s="130"/>
      <c r="AJ65" s="130"/>
      <c r="AK65" s="130"/>
      <c r="AL65" s="130"/>
      <c r="AM65" s="130"/>
      <c r="AN65" s="130"/>
      <c r="AO65" s="130"/>
    </row>
    <row r="66" hidden="1">
      <c r="A66" s="131" t="s">
        <v>1467</v>
      </c>
      <c r="B66" s="137">
        <v>68.0</v>
      </c>
      <c r="C66" s="133">
        <v>35.0</v>
      </c>
      <c r="D66" s="133">
        <v>35.0</v>
      </c>
      <c r="E66" s="133">
        <v>40.0</v>
      </c>
      <c r="F66" s="133">
        <v>32.0</v>
      </c>
      <c r="G66" s="133">
        <v>34.0</v>
      </c>
      <c r="H66" s="133">
        <v>23.0</v>
      </c>
      <c r="I66" s="133">
        <v>11.0</v>
      </c>
      <c r="J66" s="133">
        <v>36.0</v>
      </c>
      <c r="K66" s="133">
        <v>18.0</v>
      </c>
      <c r="L66" s="133">
        <v>0.0</v>
      </c>
      <c r="M66" s="133">
        <v>8.0</v>
      </c>
      <c r="N66" s="133"/>
      <c r="O66" s="133">
        <v>13.0</v>
      </c>
      <c r="P66" s="133"/>
      <c r="Q66" s="133"/>
      <c r="R66" s="133"/>
      <c r="S66" s="133"/>
      <c r="T66" s="133"/>
      <c r="U66" s="134"/>
      <c r="V66" s="133"/>
      <c r="W66" s="133"/>
      <c r="X66" s="133"/>
      <c r="Y66" s="133"/>
      <c r="Z66" s="133"/>
      <c r="AA66" s="133"/>
      <c r="AB66" s="130"/>
      <c r="AC66" s="130"/>
      <c r="AD66" s="130"/>
      <c r="AE66" s="130"/>
      <c r="AF66" s="130"/>
      <c r="AG66" s="130"/>
      <c r="AH66" s="130"/>
      <c r="AI66" s="130"/>
      <c r="AJ66" s="130"/>
      <c r="AK66" s="130"/>
      <c r="AL66" s="130"/>
      <c r="AM66" s="130"/>
      <c r="AN66" s="130"/>
      <c r="AO66" s="130"/>
    </row>
    <row r="67">
      <c r="A67" s="131" t="s">
        <v>1468</v>
      </c>
      <c r="B67" s="137">
        <v>52.0</v>
      </c>
      <c r="C67" s="133">
        <v>89.0</v>
      </c>
      <c r="D67" s="133">
        <v>46.0</v>
      </c>
      <c r="E67" s="133">
        <v>42.0</v>
      </c>
      <c r="F67" s="133">
        <v>48.0</v>
      </c>
      <c r="G67" s="133">
        <v>51.0</v>
      </c>
      <c r="H67" s="133">
        <v>48.0</v>
      </c>
      <c r="I67" s="133">
        <v>29.0</v>
      </c>
      <c r="J67" s="133">
        <v>64.0</v>
      </c>
      <c r="K67" s="133">
        <v>71.0</v>
      </c>
      <c r="L67" s="133">
        <v>78.0</v>
      </c>
      <c r="M67" s="133">
        <v>63.0</v>
      </c>
      <c r="N67" s="133">
        <v>26.0</v>
      </c>
      <c r="O67" s="133">
        <v>54.0</v>
      </c>
      <c r="P67" s="133">
        <v>62.0</v>
      </c>
      <c r="Q67" s="133">
        <v>38.0</v>
      </c>
      <c r="R67" s="133">
        <v>46.0</v>
      </c>
      <c r="S67" s="133">
        <v>53.0</v>
      </c>
      <c r="T67" s="133">
        <v>63.0</v>
      </c>
      <c r="U67" s="134">
        <v>56.0</v>
      </c>
      <c r="V67" s="133">
        <v>61.0</v>
      </c>
      <c r="W67" s="133"/>
      <c r="X67" s="133"/>
      <c r="Y67" s="133"/>
      <c r="Z67" s="133"/>
      <c r="AA67" s="133"/>
      <c r="AB67" s="130"/>
      <c r="AC67" s="130"/>
      <c r="AD67" s="130"/>
      <c r="AE67" s="130"/>
      <c r="AF67" s="130"/>
      <c r="AG67" s="130"/>
      <c r="AH67" s="130"/>
      <c r="AI67" s="130"/>
      <c r="AJ67" s="130"/>
      <c r="AK67" s="130"/>
      <c r="AL67" s="130"/>
      <c r="AM67" s="130"/>
      <c r="AN67" s="130"/>
      <c r="AO67" s="130"/>
    </row>
    <row r="68">
      <c r="A68" s="131" t="s">
        <v>1469</v>
      </c>
      <c r="B68" s="137"/>
      <c r="C68" s="133"/>
      <c r="D68" s="133"/>
      <c r="E68" s="133"/>
      <c r="F68" s="133"/>
      <c r="G68" s="133"/>
      <c r="H68" s="133"/>
      <c r="I68" s="133"/>
      <c r="J68" s="133"/>
      <c r="K68" s="133"/>
      <c r="L68" s="133"/>
      <c r="M68" s="133"/>
      <c r="N68" s="133"/>
      <c r="O68" s="133"/>
      <c r="P68" s="133"/>
      <c r="Q68" s="133"/>
      <c r="R68" s="133"/>
      <c r="S68" s="133">
        <v>0.0</v>
      </c>
      <c r="T68" s="133">
        <v>12.0</v>
      </c>
      <c r="U68" s="134">
        <v>28.0</v>
      </c>
      <c r="V68" s="133">
        <v>34.0</v>
      </c>
      <c r="W68" s="133"/>
      <c r="X68" s="133"/>
      <c r="Y68" s="133"/>
      <c r="Z68" s="133"/>
      <c r="AA68" s="133"/>
      <c r="AB68" s="130"/>
      <c r="AC68" s="130"/>
      <c r="AD68" s="130"/>
      <c r="AE68" s="130"/>
      <c r="AF68" s="130"/>
      <c r="AG68" s="130"/>
      <c r="AH68" s="130"/>
      <c r="AI68" s="130"/>
      <c r="AJ68" s="130"/>
      <c r="AK68" s="130"/>
      <c r="AL68" s="130"/>
      <c r="AM68" s="130"/>
      <c r="AN68" s="130"/>
      <c r="AO68" s="130"/>
    </row>
    <row r="69">
      <c r="A69" s="131" t="s">
        <v>1470</v>
      </c>
      <c r="B69" s="137">
        <v>3.0</v>
      </c>
      <c r="C69" s="133">
        <v>12.0</v>
      </c>
      <c r="D69" s="133">
        <v>8.0</v>
      </c>
      <c r="E69" s="133">
        <v>13.0</v>
      </c>
      <c r="F69" s="133">
        <v>10.0</v>
      </c>
      <c r="G69" s="133">
        <v>10.0</v>
      </c>
      <c r="H69" s="133">
        <v>13.0</v>
      </c>
      <c r="I69" s="133">
        <v>5.0</v>
      </c>
      <c r="J69" s="133">
        <v>16.0</v>
      </c>
      <c r="K69" s="133">
        <v>13.0</v>
      </c>
      <c r="L69" s="133">
        <v>16.0</v>
      </c>
      <c r="M69" s="133"/>
      <c r="N69" s="133">
        <v>3.0</v>
      </c>
      <c r="O69" s="133">
        <v>18.0</v>
      </c>
      <c r="P69" s="133">
        <v>6.0</v>
      </c>
      <c r="Q69" s="133">
        <v>14.0</v>
      </c>
      <c r="R69" s="133">
        <v>13.0</v>
      </c>
      <c r="S69" s="133">
        <v>18.0</v>
      </c>
      <c r="T69" s="133">
        <v>13.0</v>
      </c>
      <c r="U69" s="134">
        <v>12.0</v>
      </c>
      <c r="V69" s="133">
        <v>9.0</v>
      </c>
      <c r="W69" s="133"/>
      <c r="X69" s="133"/>
      <c r="Y69" s="133"/>
      <c r="Z69" s="133"/>
      <c r="AA69" s="133"/>
      <c r="AB69" s="130"/>
      <c r="AC69" s="130"/>
      <c r="AD69" s="130"/>
      <c r="AE69" s="130"/>
      <c r="AF69" s="130"/>
      <c r="AG69" s="130"/>
      <c r="AH69" s="130"/>
      <c r="AI69" s="130"/>
      <c r="AJ69" s="130"/>
      <c r="AK69" s="130"/>
      <c r="AL69" s="130"/>
      <c r="AM69" s="130"/>
      <c r="AN69" s="130"/>
      <c r="AO69" s="130"/>
    </row>
    <row r="70">
      <c r="A70" s="131" t="s">
        <v>1471</v>
      </c>
      <c r="B70" s="137">
        <v>27.0</v>
      </c>
      <c r="C70" s="133">
        <v>42.0</v>
      </c>
      <c r="D70" s="133">
        <v>36.0</v>
      </c>
      <c r="E70" s="133">
        <v>52.0</v>
      </c>
      <c r="F70" s="133">
        <v>54.0</v>
      </c>
      <c r="G70" s="133">
        <v>12.0</v>
      </c>
      <c r="H70" s="133">
        <v>48.0</v>
      </c>
      <c r="I70" s="133">
        <v>40.0</v>
      </c>
      <c r="J70" s="133">
        <v>39.0</v>
      </c>
      <c r="K70" s="133">
        <v>13.0</v>
      </c>
      <c r="L70" s="133">
        <v>43.0</v>
      </c>
      <c r="M70" s="133">
        <v>36.0</v>
      </c>
      <c r="N70" s="133">
        <v>18.0</v>
      </c>
      <c r="O70" s="133">
        <v>45.0</v>
      </c>
      <c r="P70" s="133">
        <v>49.0</v>
      </c>
      <c r="Q70" s="133">
        <v>47.0</v>
      </c>
      <c r="R70" s="133">
        <v>27.0</v>
      </c>
      <c r="S70" s="133">
        <v>3.0</v>
      </c>
      <c r="T70" s="133">
        <v>19.0</v>
      </c>
      <c r="U70" s="134">
        <v>19.0</v>
      </c>
      <c r="V70" s="133">
        <v>5.0</v>
      </c>
      <c r="W70" s="133"/>
      <c r="X70" s="133"/>
      <c r="Y70" s="133"/>
      <c r="Z70" s="133"/>
      <c r="AA70" s="133"/>
      <c r="AB70" s="130"/>
      <c r="AC70" s="130"/>
      <c r="AD70" s="130"/>
      <c r="AE70" s="130"/>
      <c r="AF70" s="130"/>
      <c r="AG70" s="130"/>
      <c r="AH70" s="130"/>
      <c r="AI70" s="130"/>
      <c r="AJ70" s="130"/>
      <c r="AK70" s="130"/>
      <c r="AL70" s="130"/>
      <c r="AM70" s="130"/>
      <c r="AN70" s="130"/>
      <c r="AO70" s="130"/>
    </row>
    <row r="71">
      <c r="A71" s="131" t="s">
        <v>1472</v>
      </c>
      <c r="B71" s="137">
        <v>43.0</v>
      </c>
      <c r="C71" s="133">
        <v>25.0</v>
      </c>
      <c r="D71" s="133">
        <v>17.0</v>
      </c>
      <c r="E71" s="133">
        <v>45.0</v>
      </c>
      <c r="F71" s="133">
        <v>57.0</v>
      </c>
      <c r="G71" s="133">
        <v>41.0</v>
      </c>
      <c r="H71" s="133">
        <v>21.0</v>
      </c>
      <c r="I71" s="133">
        <v>29.0</v>
      </c>
      <c r="J71" s="133">
        <v>53.0</v>
      </c>
      <c r="K71" s="133">
        <v>49.0</v>
      </c>
      <c r="L71" s="133">
        <v>34.0</v>
      </c>
      <c r="M71" s="133">
        <v>45.0</v>
      </c>
      <c r="N71" s="133">
        <v>29.0</v>
      </c>
      <c r="O71" s="133">
        <v>51.0</v>
      </c>
      <c r="P71" s="133">
        <v>49.0</v>
      </c>
      <c r="Q71" s="133">
        <v>26.0</v>
      </c>
      <c r="R71" s="133">
        <v>19.0</v>
      </c>
      <c r="S71" s="133">
        <v>37.0</v>
      </c>
      <c r="T71" s="133">
        <v>30.0</v>
      </c>
      <c r="U71" s="133">
        <v>12.0</v>
      </c>
      <c r="V71" s="133">
        <v>54.0</v>
      </c>
      <c r="W71" s="133"/>
      <c r="X71" s="133"/>
      <c r="Y71" s="133"/>
      <c r="Z71" s="133"/>
      <c r="AA71" s="133"/>
      <c r="AB71" s="130"/>
      <c r="AC71" s="130"/>
      <c r="AD71" s="130"/>
      <c r="AE71" s="130"/>
      <c r="AF71" s="130"/>
      <c r="AG71" s="130"/>
      <c r="AH71" s="130"/>
      <c r="AI71" s="130"/>
      <c r="AJ71" s="130"/>
      <c r="AK71" s="130"/>
      <c r="AL71" s="130"/>
      <c r="AM71" s="130"/>
      <c r="AN71" s="130"/>
      <c r="AO71" s="130"/>
    </row>
    <row r="72" hidden="1">
      <c r="A72" s="131" t="s">
        <v>1473</v>
      </c>
      <c r="B72" s="137">
        <v>34.0</v>
      </c>
      <c r="C72" s="133">
        <v>24.0</v>
      </c>
      <c r="D72" s="133">
        <v>30.0</v>
      </c>
      <c r="E72" s="133">
        <v>32.0</v>
      </c>
      <c r="F72" s="133">
        <v>30.0</v>
      </c>
      <c r="G72" s="133">
        <v>29.0</v>
      </c>
      <c r="H72" s="133">
        <v>35.0</v>
      </c>
      <c r="I72" s="133">
        <v>14.0</v>
      </c>
      <c r="J72" s="133">
        <v>29.0</v>
      </c>
      <c r="K72" s="133">
        <v>9.0</v>
      </c>
      <c r="L72" s="133"/>
      <c r="M72" s="133"/>
      <c r="N72" s="133"/>
      <c r="O72" s="133"/>
      <c r="P72" s="133"/>
      <c r="Q72" s="133"/>
      <c r="R72" s="133"/>
      <c r="S72" s="133"/>
      <c r="T72" s="133"/>
      <c r="U72" s="133"/>
      <c r="V72" s="133"/>
      <c r="W72" s="133"/>
      <c r="X72" s="133"/>
      <c r="Y72" s="133"/>
      <c r="Z72" s="133"/>
      <c r="AA72" s="133"/>
      <c r="AB72" s="130"/>
      <c r="AC72" s="130"/>
      <c r="AD72" s="130"/>
      <c r="AE72" s="130"/>
      <c r="AF72" s="130"/>
      <c r="AG72" s="130"/>
      <c r="AH72" s="130"/>
      <c r="AI72" s="130"/>
      <c r="AJ72" s="130"/>
      <c r="AK72" s="130"/>
      <c r="AL72" s="130"/>
      <c r="AM72" s="130"/>
      <c r="AN72" s="130"/>
      <c r="AO72" s="130"/>
    </row>
    <row r="73">
      <c r="A73" s="131" t="s">
        <v>1474</v>
      </c>
      <c r="B73" s="137">
        <v>8.0</v>
      </c>
      <c r="C73" s="133">
        <v>0.0</v>
      </c>
      <c r="D73" s="133">
        <v>10.0</v>
      </c>
      <c r="E73" s="133">
        <v>8.0</v>
      </c>
      <c r="F73" s="133">
        <v>10.0</v>
      </c>
      <c r="G73" s="133">
        <v>8.0</v>
      </c>
      <c r="H73" s="133">
        <v>14.0</v>
      </c>
      <c r="I73" s="133">
        <v>6.0</v>
      </c>
      <c r="J73" s="133">
        <v>6.0</v>
      </c>
      <c r="K73" s="133">
        <v>0.0</v>
      </c>
      <c r="L73" s="133">
        <v>11.0</v>
      </c>
      <c r="M73" s="133">
        <v>14.0</v>
      </c>
      <c r="N73" s="133"/>
      <c r="O73" s="133">
        <v>14.0</v>
      </c>
      <c r="P73" s="133">
        <v>9.0</v>
      </c>
      <c r="Q73" s="133">
        <v>0.0</v>
      </c>
      <c r="R73" s="133">
        <v>10.0</v>
      </c>
      <c r="S73" s="133">
        <v>10.0</v>
      </c>
      <c r="T73" s="133">
        <v>8.0</v>
      </c>
      <c r="U73" s="133">
        <v>8.0</v>
      </c>
      <c r="V73" s="133">
        <v>3.0</v>
      </c>
      <c r="W73" s="133"/>
      <c r="X73" s="133"/>
      <c r="Y73" s="133"/>
      <c r="Z73" s="133"/>
      <c r="AA73" s="133"/>
      <c r="AB73" s="130"/>
      <c r="AC73" s="130"/>
      <c r="AD73" s="130"/>
      <c r="AE73" s="130"/>
      <c r="AF73" s="130"/>
      <c r="AG73" s="130"/>
      <c r="AH73" s="130"/>
      <c r="AI73" s="130"/>
      <c r="AJ73" s="130"/>
      <c r="AK73" s="130"/>
      <c r="AL73" s="130"/>
      <c r="AM73" s="130"/>
      <c r="AN73" s="130"/>
      <c r="AO73" s="130"/>
    </row>
    <row r="74" hidden="1">
      <c r="A74" s="131" t="s">
        <v>632</v>
      </c>
      <c r="B74" s="137">
        <v>18.0</v>
      </c>
      <c r="C74" s="133">
        <v>15.0</v>
      </c>
      <c r="D74" s="133">
        <v>16.0</v>
      </c>
      <c r="E74" s="133">
        <v>48.0</v>
      </c>
      <c r="F74" s="133">
        <v>28.0</v>
      </c>
      <c r="G74" s="133">
        <v>34.0</v>
      </c>
      <c r="H74" s="133"/>
      <c r="I74" s="133"/>
      <c r="J74" s="133"/>
      <c r="K74" s="133"/>
      <c r="L74" s="133"/>
      <c r="M74" s="133"/>
      <c r="N74" s="133"/>
      <c r="O74" s="133"/>
      <c r="P74" s="133"/>
      <c r="Q74" s="133"/>
      <c r="R74" s="133"/>
      <c r="S74" s="133"/>
      <c r="T74" s="133"/>
      <c r="U74" s="133"/>
      <c r="V74" s="133"/>
      <c r="W74" s="133"/>
      <c r="X74" s="133"/>
      <c r="Y74" s="133"/>
      <c r="Z74" s="133"/>
      <c r="AA74" s="133"/>
      <c r="AB74" s="130"/>
      <c r="AC74" s="130"/>
      <c r="AD74" s="130"/>
      <c r="AE74" s="130"/>
      <c r="AF74" s="130"/>
      <c r="AG74" s="130"/>
      <c r="AH74" s="130"/>
      <c r="AI74" s="130"/>
      <c r="AJ74" s="130"/>
      <c r="AK74" s="130"/>
      <c r="AL74" s="130"/>
      <c r="AM74" s="130"/>
      <c r="AN74" s="130"/>
      <c r="AO74" s="130"/>
    </row>
    <row r="75" hidden="1">
      <c r="A75" s="131" t="s">
        <v>1475</v>
      </c>
      <c r="B75" s="137">
        <v>0.0</v>
      </c>
      <c r="C75" s="133">
        <v>3.0</v>
      </c>
      <c r="D75" s="133">
        <v>3.0</v>
      </c>
      <c r="E75" s="133">
        <v>0.0</v>
      </c>
      <c r="F75" s="133"/>
      <c r="G75" s="133"/>
      <c r="H75" s="133"/>
      <c r="I75" s="133"/>
      <c r="J75" s="133"/>
      <c r="K75" s="133"/>
      <c r="L75" s="133"/>
      <c r="M75" s="133"/>
      <c r="N75" s="133"/>
      <c r="O75" s="133"/>
      <c r="P75" s="133"/>
      <c r="Q75" s="133"/>
      <c r="R75" s="133"/>
      <c r="S75" s="133"/>
      <c r="T75" s="133"/>
      <c r="U75" s="133"/>
      <c r="V75" s="133"/>
      <c r="W75" s="133"/>
      <c r="X75" s="133"/>
      <c r="Y75" s="133"/>
      <c r="Z75" s="133"/>
      <c r="AA75" s="133"/>
      <c r="AB75" s="130"/>
      <c r="AC75" s="130"/>
      <c r="AD75" s="130"/>
      <c r="AE75" s="130"/>
      <c r="AF75" s="130"/>
      <c r="AG75" s="130"/>
      <c r="AH75" s="130"/>
      <c r="AI75" s="130"/>
      <c r="AJ75" s="130"/>
      <c r="AK75" s="130"/>
      <c r="AL75" s="130"/>
      <c r="AM75" s="130"/>
      <c r="AN75" s="130"/>
      <c r="AO75" s="130"/>
    </row>
    <row r="76" hidden="1">
      <c r="A76" s="131" t="s">
        <v>1476</v>
      </c>
      <c r="B76" s="137">
        <v>47.0</v>
      </c>
      <c r="C76" s="133">
        <v>41.0</v>
      </c>
      <c r="D76" s="133">
        <v>31.0</v>
      </c>
      <c r="E76" s="133">
        <v>35.0</v>
      </c>
      <c r="F76" s="133">
        <v>33.0</v>
      </c>
      <c r="G76" s="133">
        <v>31.0</v>
      </c>
      <c r="H76" s="133">
        <v>32.0</v>
      </c>
      <c r="I76" s="133">
        <v>11.0</v>
      </c>
      <c r="J76" s="133">
        <v>34.0</v>
      </c>
      <c r="K76" s="133">
        <v>33.0</v>
      </c>
      <c r="L76" s="133">
        <v>34.0</v>
      </c>
      <c r="M76" s="133">
        <v>13.0</v>
      </c>
      <c r="N76" s="133"/>
      <c r="O76" s="133"/>
      <c r="P76" s="133"/>
      <c r="Q76" s="133"/>
      <c r="R76" s="133"/>
      <c r="S76" s="133"/>
      <c r="T76" s="133"/>
      <c r="U76" s="134"/>
      <c r="V76" s="133"/>
      <c r="W76" s="133"/>
      <c r="X76" s="133"/>
      <c r="Y76" s="133"/>
      <c r="Z76" s="133"/>
      <c r="AA76" s="133"/>
      <c r="AB76" s="130"/>
      <c r="AC76" s="130"/>
      <c r="AD76" s="130"/>
      <c r="AE76" s="130"/>
      <c r="AF76" s="130"/>
      <c r="AG76" s="130"/>
      <c r="AH76" s="130"/>
      <c r="AI76" s="130"/>
      <c r="AJ76" s="130"/>
      <c r="AK76" s="130"/>
      <c r="AL76" s="130"/>
      <c r="AM76" s="130"/>
      <c r="AN76" s="130"/>
      <c r="AO76" s="130"/>
    </row>
    <row r="77">
      <c r="A77" s="131" t="s">
        <v>1477</v>
      </c>
      <c r="B77" s="137">
        <v>40.0</v>
      </c>
      <c r="C77" s="133">
        <v>53.0</v>
      </c>
      <c r="D77" s="133">
        <v>71.0</v>
      </c>
      <c r="E77" s="133">
        <v>55.0</v>
      </c>
      <c r="F77" s="133">
        <v>50.0</v>
      </c>
      <c r="G77" s="133">
        <v>63.0</v>
      </c>
      <c r="H77" s="133">
        <v>55.0</v>
      </c>
      <c r="I77" s="133">
        <v>28.0</v>
      </c>
      <c r="J77" s="133">
        <v>63.0</v>
      </c>
      <c r="K77" s="133">
        <v>61.0</v>
      </c>
      <c r="L77" s="133">
        <v>62.0</v>
      </c>
      <c r="M77" s="133">
        <v>59.0</v>
      </c>
      <c r="N77" s="133">
        <v>32.0</v>
      </c>
      <c r="O77" s="133">
        <v>58.0</v>
      </c>
      <c r="P77" s="133">
        <v>67.0</v>
      </c>
      <c r="Q77" s="133">
        <v>45.0</v>
      </c>
      <c r="R77" s="133">
        <v>29.0</v>
      </c>
      <c r="S77" s="133">
        <v>58.0</v>
      </c>
      <c r="T77" s="133">
        <v>88.0</v>
      </c>
      <c r="U77" s="134">
        <v>65.0</v>
      </c>
      <c r="V77" s="133">
        <v>68.0</v>
      </c>
      <c r="W77" s="133"/>
      <c r="X77" s="133"/>
      <c r="Y77" s="133"/>
      <c r="Z77" s="133"/>
      <c r="AA77" s="133"/>
      <c r="AB77" s="130"/>
      <c r="AC77" s="130"/>
      <c r="AD77" s="130"/>
      <c r="AE77" s="130"/>
      <c r="AF77" s="130"/>
      <c r="AG77" s="130"/>
      <c r="AH77" s="130"/>
      <c r="AI77" s="130"/>
      <c r="AJ77" s="130"/>
      <c r="AK77" s="130"/>
      <c r="AL77" s="130"/>
      <c r="AM77" s="130"/>
      <c r="AN77" s="130"/>
      <c r="AO77" s="130"/>
    </row>
    <row r="78" hidden="1">
      <c r="A78" s="131" t="s">
        <v>1478</v>
      </c>
      <c r="B78" s="137">
        <v>15.0</v>
      </c>
      <c r="C78" s="133">
        <v>29.0</v>
      </c>
      <c r="D78" s="133">
        <v>34.0</v>
      </c>
      <c r="E78" s="133">
        <v>32.0</v>
      </c>
      <c r="F78" s="133">
        <v>39.0</v>
      </c>
      <c r="G78" s="133">
        <v>39.0</v>
      </c>
      <c r="H78" s="133">
        <v>38.0</v>
      </c>
      <c r="I78" s="133">
        <v>16.0</v>
      </c>
      <c r="J78" s="133">
        <v>32.0</v>
      </c>
      <c r="K78" s="133">
        <v>34.0</v>
      </c>
      <c r="L78" s="133">
        <v>39.0</v>
      </c>
      <c r="M78" s="133">
        <v>40.0</v>
      </c>
      <c r="N78" s="133">
        <v>8.0</v>
      </c>
      <c r="O78" s="133">
        <v>31.0</v>
      </c>
      <c r="P78" s="133">
        <v>39.0</v>
      </c>
      <c r="Q78" s="133">
        <v>37.0</v>
      </c>
      <c r="R78" s="133">
        <v>0.0</v>
      </c>
      <c r="S78" s="133">
        <v>11.0</v>
      </c>
      <c r="T78" s="133">
        <v>34.0</v>
      </c>
      <c r="U78" s="134"/>
      <c r="V78" s="133"/>
      <c r="W78" s="133"/>
      <c r="X78" s="133"/>
      <c r="Y78" s="133"/>
      <c r="Z78" s="133"/>
      <c r="AA78" s="133"/>
      <c r="AB78" s="130"/>
      <c r="AC78" s="130"/>
      <c r="AD78" s="130"/>
      <c r="AE78" s="130"/>
      <c r="AF78" s="130"/>
      <c r="AG78" s="130"/>
      <c r="AH78" s="130"/>
      <c r="AI78" s="130"/>
      <c r="AJ78" s="130"/>
      <c r="AK78" s="130"/>
      <c r="AL78" s="130"/>
      <c r="AM78" s="130"/>
      <c r="AN78" s="130"/>
      <c r="AO78" s="130"/>
    </row>
    <row r="79">
      <c r="A79" s="131" t="s">
        <v>1479</v>
      </c>
      <c r="B79" s="413">
        <v>5.0</v>
      </c>
      <c r="C79" s="199">
        <v>5.0</v>
      </c>
      <c r="D79" s="199">
        <v>10.0</v>
      </c>
      <c r="E79" s="199">
        <v>8.0</v>
      </c>
      <c r="F79" s="199">
        <v>8.0</v>
      </c>
      <c r="G79" s="199">
        <v>8.0</v>
      </c>
      <c r="H79" s="199">
        <v>11.0</v>
      </c>
      <c r="I79" s="199">
        <v>6.0</v>
      </c>
      <c r="J79" s="199">
        <v>2.0</v>
      </c>
      <c r="K79" s="199">
        <v>11.0</v>
      </c>
      <c r="L79" s="199">
        <v>3.0</v>
      </c>
      <c r="M79" s="199">
        <v>9.0</v>
      </c>
      <c r="N79" s="199">
        <v>5.0</v>
      </c>
      <c r="O79" s="199">
        <v>8.0</v>
      </c>
      <c r="P79" s="199">
        <v>5.0</v>
      </c>
      <c r="Q79" s="199">
        <v>13.0</v>
      </c>
      <c r="R79" s="199">
        <v>5.0</v>
      </c>
      <c r="S79" s="199">
        <v>9.0</v>
      </c>
      <c r="T79" s="199">
        <v>3.0</v>
      </c>
      <c r="U79" s="414">
        <v>8.0</v>
      </c>
      <c r="V79" s="199">
        <v>8.0</v>
      </c>
    </row>
    <row r="80">
      <c r="A80" s="131" t="s">
        <v>1480</v>
      </c>
      <c r="B80" s="413"/>
      <c r="C80" s="199"/>
      <c r="D80" s="199"/>
      <c r="N80" s="199">
        <v>3.0</v>
      </c>
      <c r="O80" s="199">
        <v>2.0</v>
      </c>
      <c r="P80" s="199">
        <v>3.0</v>
      </c>
      <c r="Q80" s="199">
        <v>6.0</v>
      </c>
      <c r="R80" s="199">
        <v>8.0</v>
      </c>
      <c r="S80" s="199">
        <v>5.0</v>
      </c>
      <c r="T80" s="199">
        <v>3.0</v>
      </c>
      <c r="U80" s="199">
        <v>7.0</v>
      </c>
      <c r="V80" s="199">
        <v>7.0</v>
      </c>
    </row>
    <row r="81">
      <c r="A81" s="131" t="s">
        <v>1481</v>
      </c>
      <c r="B81" s="413"/>
      <c r="C81" s="199"/>
      <c r="D81" s="199"/>
      <c r="O81" s="199">
        <v>42.0</v>
      </c>
      <c r="P81" s="199">
        <v>33.0</v>
      </c>
      <c r="Q81" s="199">
        <v>29.0</v>
      </c>
      <c r="R81" s="199">
        <v>19.0</v>
      </c>
      <c r="S81" s="199">
        <v>40.0</v>
      </c>
      <c r="T81" s="199">
        <v>55.0</v>
      </c>
      <c r="U81" s="199">
        <v>90.0</v>
      </c>
      <c r="V81" s="199">
        <v>37.0</v>
      </c>
    </row>
    <row r="82">
      <c r="A82" s="126" t="s">
        <v>225</v>
      </c>
      <c r="B82" s="410"/>
      <c r="C82" s="403"/>
      <c r="D82" s="403"/>
      <c r="E82" s="403"/>
      <c r="F82" s="403"/>
      <c r="G82" s="403"/>
      <c r="H82" s="403"/>
      <c r="I82" s="403"/>
      <c r="J82" s="403"/>
      <c r="K82" s="403"/>
      <c r="L82" s="403"/>
      <c r="M82" s="403"/>
      <c r="N82" s="403"/>
      <c r="O82" s="403"/>
      <c r="P82" s="403"/>
      <c r="Q82" s="403"/>
      <c r="R82" s="403"/>
      <c r="S82" s="403"/>
      <c r="T82" s="403"/>
      <c r="U82" s="403"/>
      <c r="V82" s="411"/>
      <c r="W82" s="403"/>
      <c r="X82" s="403"/>
      <c r="Y82" s="403"/>
      <c r="Z82" s="403"/>
      <c r="AA82" s="403"/>
      <c r="AB82" s="403"/>
      <c r="AC82" s="403"/>
      <c r="AD82" s="403"/>
      <c r="AE82" s="403"/>
      <c r="AF82" s="403"/>
      <c r="AG82" s="403"/>
      <c r="AH82" s="403"/>
      <c r="AI82" s="403"/>
      <c r="AJ82" s="403"/>
      <c r="AK82" s="403"/>
      <c r="AL82" s="403"/>
      <c r="AM82" s="403"/>
      <c r="AN82" s="403"/>
    </row>
    <row r="83">
      <c r="A83" s="131"/>
      <c r="B83" s="413"/>
      <c r="C83" s="199"/>
      <c r="D83" s="199"/>
    </row>
  </sheetData>
  <mergeCells count="16">
    <mergeCell ref="H3:I3"/>
    <mergeCell ref="J3:L3"/>
    <mergeCell ref="M3:N3"/>
    <mergeCell ref="O3:P3"/>
    <mergeCell ref="Q3:R3"/>
    <mergeCell ref="S3:T3"/>
    <mergeCell ref="U3:V3"/>
    <mergeCell ref="W3:Y3"/>
    <mergeCell ref="B2:G2"/>
    <mergeCell ref="H2:N2"/>
    <mergeCell ref="O2:T2"/>
    <mergeCell ref="U2:AA2"/>
    <mergeCell ref="B3:C3"/>
    <mergeCell ref="D3:E3"/>
    <mergeCell ref="F3:G3"/>
    <mergeCell ref="Z3:AA3"/>
  </mergeCells>
  <dataValidations>
    <dataValidation type="list" allowBlank="1" showErrorMessage="1" sqref="B31:AA31 B39:AA39">
      <formula1>"0%,100%"</formula1>
    </dataValidation>
  </dataValidation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37.0"/>
    <col customWidth="1" hidden="1" min="2" max="2" width="14.75"/>
    <col hidden="1" min="3" max="4" width="12.63"/>
    <col customWidth="1" hidden="1" min="5" max="5" width="14.0"/>
    <col hidden="1" min="6" max="14" width="12.63"/>
    <col customWidth="1" min="28" max="29" width="13.5"/>
  </cols>
  <sheetData>
    <row r="1" ht="30.0" customHeight="1">
      <c r="A1" s="1" t="s">
        <v>1482</v>
      </c>
      <c r="B1" s="2"/>
      <c r="C1" s="3"/>
      <c r="D1" s="3"/>
      <c r="E1" s="3"/>
      <c r="F1" s="3"/>
      <c r="G1" s="3"/>
      <c r="H1" s="3"/>
      <c r="I1" s="3"/>
      <c r="J1" s="3"/>
      <c r="K1" s="3"/>
      <c r="L1" s="3"/>
      <c r="M1" s="3"/>
      <c r="N1" s="3"/>
      <c r="O1" s="3"/>
      <c r="P1" s="3"/>
      <c r="Q1" s="4"/>
      <c r="R1" s="4"/>
      <c r="S1" s="4"/>
      <c r="T1" s="5"/>
      <c r="U1" s="4"/>
      <c r="V1" s="4"/>
      <c r="W1" s="4"/>
      <c r="X1" s="4"/>
      <c r="Y1" s="4"/>
      <c r="Z1" s="4"/>
      <c r="AA1" s="4"/>
      <c r="AB1" s="4"/>
      <c r="AC1" s="4"/>
    </row>
    <row r="2">
      <c r="A2" s="6" t="s">
        <v>1</v>
      </c>
      <c r="B2" s="7" t="s">
        <v>2</v>
      </c>
      <c r="C2" s="8"/>
      <c r="D2" s="8"/>
      <c r="E2" s="8"/>
      <c r="F2" s="8"/>
      <c r="G2" s="9"/>
      <c r="H2" s="10" t="s">
        <v>3</v>
      </c>
      <c r="I2" s="8"/>
      <c r="J2" s="8"/>
      <c r="K2" s="8"/>
      <c r="L2" s="8"/>
      <c r="M2" s="8"/>
      <c r="N2" s="9"/>
      <c r="O2" s="10" t="s">
        <v>4</v>
      </c>
      <c r="P2" s="8"/>
      <c r="Q2" s="8"/>
      <c r="R2" s="8"/>
      <c r="S2" s="8"/>
      <c r="T2" s="9"/>
      <c r="U2" s="11" t="s">
        <v>5</v>
      </c>
      <c r="V2" s="8"/>
      <c r="W2" s="8"/>
      <c r="X2" s="8"/>
      <c r="Y2" s="8"/>
      <c r="Z2" s="8"/>
      <c r="AA2" s="9"/>
    </row>
    <row r="3">
      <c r="A3" s="6" t="s">
        <v>6</v>
      </c>
      <c r="B3" s="13" t="s">
        <v>7</v>
      </c>
      <c r="C3" s="14"/>
      <c r="D3" s="13" t="s">
        <v>8</v>
      </c>
      <c r="E3" s="14"/>
      <c r="F3" s="10" t="s">
        <v>9</v>
      </c>
      <c r="G3" s="9"/>
      <c r="H3" s="293" t="s">
        <v>10</v>
      </c>
      <c r="I3" s="9"/>
      <c r="J3" s="10" t="s">
        <v>11</v>
      </c>
      <c r="K3" s="8"/>
      <c r="L3" s="9"/>
      <c r="M3" s="469" t="s">
        <v>12</v>
      </c>
      <c r="N3" s="9"/>
      <c r="O3" s="10" t="s">
        <v>13</v>
      </c>
      <c r="P3" s="9"/>
      <c r="Q3" s="293" t="s">
        <v>14</v>
      </c>
      <c r="R3" s="9"/>
      <c r="S3" s="10" t="s">
        <v>15</v>
      </c>
      <c r="T3" s="9"/>
      <c r="U3" s="775" t="s">
        <v>16</v>
      </c>
      <c r="V3" s="9"/>
      <c r="W3" s="10" t="s">
        <v>17</v>
      </c>
      <c r="X3" s="8"/>
      <c r="Y3" s="9"/>
      <c r="Z3" s="469" t="s">
        <v>18</v>
      </c>
      <c r="AA3" s="9"/>
    </row>
    <row r="4">
      <c r="A4" s="6" t="s">
        <v>19</v>
      </c>
      <c r="B4" s="18" t="s">
        <v>1483</v>
      </c>
      <c r="C4" s="18" t="s">
        <v>1484</v>
      </c>
      <c r="D4" s="18" t="s">
        <v>1485</v>
      </c>
      <c r="E4" s="18" t="s">
        <v>1486</v>
      </c>
      <c r="F4" s="18" t="s">
        <v>1487</v>
      </c>
      <c r="G4" s="18" t="s">
        <v>1488</v>
      </c>
      <c r="H4" s="470" t="s">
        <v>1489</v>
      </c>
      <c r="I4" s="470" t="s">
        <v>1490</v>
      </c>
      <c r="J4" s="470" t="s">
        <v>1491</v>
      </c>
      <c r="K4" s="470" t="s">
        <v>1492</v>
      </c>
      <c r="L4" s="470" t="s">
        <v>1493</v>
      </c>
      <c r="M4" s="470" t="s">
        <v>1494</v>
      </c>
      <c r="N4" s="470" t="s">
        <v>1495</v>
      </c>
      <c r="O4" s="470" t="s">
        <v>1496</v>
      </c>
      <c r="P4" s="470" t="s">
        <v>1497</v>
      </c>
      <c r="Q4" s="470" t="s">
        <v>709</v>
      </c>
      <c r="R4" s="470" t="s">
        <v>710</v>
      </c>
      <c r="S4" s="470" t="s">
        <v>1498</v>
      </c>
      <c r="T4" s="470" t="s">
        <v>1499</v>
      </c>
      <c r="U4" s="793" t="s">
        <v>1500</v>
      </c>
      <c r="V4" s="470" t="s">
        <v>1501</v>
      </c>
      <c r="W4" s="19"/>
      <c r="X4" s="19"/>
      <c r="Y4" s="19"/>
      <c r="Z4" s="19"/>
      <c r="AA4" s="21"/>
    </row>
    <row r="5">
      <c r="A5" s="22" t="s">
        <v>20</v>
      </c>
      <c r="B5" s="18" t="s">
        <v>1502</v>
      </c>
      <c r="C5" s="23" t="s">
        <v>1503</v>
      </c>
      <c r="D5" s="23" t="s">
        <v>1504</v>
      </c>
      <c r="E5" s="23" t="s">
        <v>1505</v>
      </c>
      <c r="F5" s="23" t="s">
        <v>1506</v>
      </c>
      <c r="G5" s="23" t="s">
        <v>1507</v>
      </c>
      <c r="H5" s="23" t="s">
        <v>1508</v>
      </c>
      <c r="I5" s="23" t="s">
        <v>1509</v>
      </c>
      <c r="J5" s="23" t="s">
        <v>1510</v>
      </c>
      <c r="K5" s="23" t="s">
        <v>1511</v>
      </c>
      <c r="L5" s="23" t="s">
        <v>1512</v>
      </c>
      <c r="M5" s="23" t="s">
        <v>1513</v>
      </c>
      <c r="N5" s="23" t="s">
        <v>1514</v>
      </c>
      <c r="O5" s="794" t="s">
        <v>1515</v>
      </c>
      <c r="P5" s="25" t="s">
        <v>1516</v>
      </c>
      <c r="Q5" s="25" t="s">
        <v>1517</v>
      </c>
      <c r="R5" s="25" t="s">
        <v>1518</v>
      </c>
      <c r="S5" s="25" t="s">
        <v>1519</v>
      </c>
      <c r="T5" s="25" t="s">
        <v>1520</v>
      </c>
      <c r="U5" s="26" t="s">
        <v>1521</v>
      </c>
      <c r="V5" s="25" t="s">
        <v>1522</v>
      </c>
      <c r="W5" s="24"/>
      <c r="X5" s="24"/>
      <c r="Y5" s="24"/>
      <c r="Z5" s="25"/>
      <c r="AA5" s="25"/>
    </row>
    <row r="6">
      <c r="A6" s="29"/>
      <c r="B6" s="30"/>
      <c r="U6" s="31"/>
    </row>
    <row r="7">
      <c r="A7" s="32" t="s">
        <v>21</v>
      </c>
      <c r="B7" s="795">
        <f>sum(B8+B10)</f>
        <v>132</v>
      </c>
      <c r="C7" s="796">
        <v>152.0</v>
      </c>
      <c r="D7" s="797">
        <f t="shared" ref="D7:D8" si="3">SUM(D40:D46)</f>
        <v>156</v>
      </c>
      <c r="E7" s="798">
        <f>sum(E8,E10)</f>
        <v>184</v>
      </c>
      <c r="F7" s="798">
        <f>SUM(F40:F46)</f>
        <v>190</v>
      </c>
      <c r="G7" s="798">
        <v>181.0</v>
      </c>
      <c r="H7" s="798">
        <v>127.0</v>
      </c>
      <c r="I7" s="798">
        <v>243.0</v>
      </c>
      <c r="J7" s="798">
        <f>214+13</f>
        <v>227</v>
      </c>
      <c r="K7" s="798">
        <v>260.0</v>
      </c>
      <c r="L7" s="798">
        <f>L8+7</f>
        <v>248</v>
      </c>
      <c r="M7" s="798">
        <f>M10+M8</f>
        <v>210</v>
      </c>
      <c r="N7" s="798">
        <v>234.0</v>
      </c>
      <c r="O7" s="798">
        <f>O8+O10</f>
        <v>246</v>
      </c>
      <c r="P7" s="798">
        <f>226+21</f>
        <v>247</v>
      </c>
      <c r="Q7" s="798">
        <v>175.0</v>
      </c>
      <c r="R7" s="798">
        <f>R10+R8</f>
        <v>220</v>
      </c>
      <c r="S7" s="798">
        <v>218.0</v>
      </c>
      <c r="T7" s="796">
        <f>T8+T10</f>
        <v>250</v>
      </c>
      <c r="U7" s="799">
        <v>263.0</v>
      </c>
      <c r="V7" s="798">
        <f t="shared" ref="V7:AA7" si="1">SUM(V8,V10)</f>
        <v>282</v>
      </c>
      <c r="W7" s="798">
        <f t="shared" si="1"/>
        <v>0</v>
      </c>
      <c r="X7" s="798">
        <f t="shared" si="1"/>
        <v>0</v>
      </c>
      <c r="Y7" s="798">
        <f t="shared" si="1"/>
        <v>0</v>
      </c>
      <c r="Z7" s="798">
        <f t="shared" si="1"/>
        <v>0</v>
      </c>
      <c r="AA7" s="798">
        <f t="shared" si="1"/>
        <v>0</v>
      </c>
    </row>
    <row r="8">
      <c r="A8" s="37" t="s">
        <v>22</v>
      </c>
      <c r="B8" s="800">
        <f t="shared" ref="B8:C8" si="2">sum(B41:B46)</f>
        <v>126</v>
      </c>
      <c r="C8" s="801">
        <f t="shared" si="2"/>
        <v>152</v>
      </c>
      <c r="D8" s="801">
        <f t="shared" si="3"/>
        <v>156</v>
      </c>
      <c r="E8" s="801">
        <f t="shared" ref="E8:F8" si="4">SUM(E40:E46)</f>
        <v>167</v>
      </c>
      <c r="F8" s="801">
        <f t="shared" si="4"/>
        <v>190</v>
      </c>
      <c r="G8" s="801">
        <v>178.0</v>
      </c>
      <c r="H8" s="801">
        <v>127.0</v>
      </c>
      <c r="I8" s="801">
        <v>240.0</v>
      </c>
      <c r="J8" s="801">
        <f>SUM(J40:J46)</f>
        <v>214</v>
      </c>
      <c r="K8" s="801">
        <v>259.0</v>
      </c>
      <c r="L8" s="801">
        <f>SUM(L40:L46)</f>
        <v>241</v>
      </c>
      <c r="M8" s="801">
        <f>sum(M40:M46)</f>
        <v>189</v>
      </c>
      <c r="N8" s="801">
        <f>SUM(N40:N46)</f>
        <v>234</v>
      </c>
      <c r="O8" s="801">
        <v>233.0</v>
      </c>
      <c r="P8" s="801">
        <v>242.0</v>
      </c>
      <c r="Q8" s="801">
        <v>165.0</v>
      </c>
      <c r="R8" s="801">
        <f>SUM(R40:R46)</f>
        <v>207</v>
      </c>
      <c r="S8" s="801">
        <v>218.0</v>
      </c>
      <c r="T8" s="802">
        <f>sum(T40:T46)</f>
        <v>242</v>
      </c>
      <c r="U8" s="803">
        <v>260.0</v>
      </c>
      <c r="V8" s="801">
        <f>sum(V40:V46)</f>
        <v>274</v>
      </c>
      <c r="W8" s="801"/>
      <c r="X8" s="801"/>
      <c r="Y8" s="801"/>
      <c r="Z8" s="801"/>
      <c r="AA8" s="801"/>
    </row>
    <row r="9">
      <c r="A9" s="37" t="s">
        <v>1523</v>
      </c>
      <c r="B9" s="800"/>
      <c r="C9" s="801"/>
      <c r="D9" s="801"/>
      <c r="E9" s="801"/>
      <c r="F9" s="801"/>
      <c r="G9" s="801"/>
      <c r="H9" s="801"/>
      <c r="I9" s="801"/>
      <c r="J9" s="801"/>
      <c r="K9" s="801"/>
      <c r="L9" s="801"/>
      <c r="M9" s="801"/>
      <c r="N9" s="801"/>
      <c r="O9" s="801"/>
      <c r="P9" s="801"/>
      <c r="Q9" s="801"/>
      <c r="R9" s="801"/>
      <c r="S9" s="801"/>
      <c r="T9" s="802"/>
      <c r="U9" s="803">
        <v>141.0</v>
      </c>
      <c r="V9" s="801">
        <v>207.0</v>
      </c>
      <c r="W9" s="801"/>
      <c r="X9" s="801"/>
      <c r="Y9" s="801"/>
      <c r="Z9" s="801"/>
      <c r="AA9" s="801"/>
    </row>
    <row r="10">
      <c r="A10" s="37" t="s">
        <v>23</v>
      </c>
      <c r="B10" s="800">
        <v>6.0</v>
      </c>
      <c r="C10" s="801">
        <v>0.0</v>
      </c>
      <c r="D10" s="801"/>
      <c r="E10" s="801">
        <v>17.0</v>
      </c>
      <c r="F10" s="801">
        <v>0.0</v>
      </c>
      <c r="G10" s="801">
        <v>3.0</v>
      </c>
      <c r="H10" s="801">
        <v>0.0</v>
      </c>
      <c r="I10" s="801">
        <v>3.0</v>
      </c>
      <c r="J10" s="801">
        <v>13.0</v>
      </c>
      <c r="K10" s="801">
        <v>1.0</v>
      </c>
      <c r="L10" s="801">
        <v>7.0</v>
      </c>
      <c r="M10" s="801">
        <v>21.0</v>
      </c>
      <c r="N10" s="801">
        <v>0.0</v>
      </c>
      <c r="O10" s="801">
        <v>13.0</v>
      </c>
      <c r="P10" s="801">
        <v>5.0</v>
      </c>
      <c r="Q10" s="801">
        <v>10.0</v>
      </c>
      <c r="R10" s="801">
        <v>13.0</v>
      </c>
      <c r="S10" s="801">
        <v>0.0</v>
      </c>
      <c r="T10" s="802">
        <v>8.0</v>
      </c>
      <c r="U10" s="803">
        <v>3.0</v>
      </c>
      <c r="V10" s="801">
        <v>8.0</v>
      </c>
      <c r="W10" s="801"/>
      <c r="X10" s="801"/>
      <c r="Y10" s="801"/>
      <c r="Z10" s="801"/>
      <c r="AA10" s="801"/>
    </row>
    <row r="11">
      <c r="A11" s="42" t="s">
        <v>24</v>
      </c>
      <c r="B11" s="804">
        <f t="shared" ref="B11:AA11" si="5">IFERROR(B10/B7, 0)</f>
        <v>0.04545454545</v>
      </c>
      <c r="C11" s="804">
        <f t="shared" si="5"/>
        <v>0</v>
      </c>
      <c r="D11" s="804">
        <f t="shared" si="5"/>
        <v>0</v>
      </c>
      <c r="E11" s="804">
        <f t="shared" si="5"/>
        <v>0.09239130435</v>
      </c>
      <c r="F11" s="804">
        <f t="shared" si="5"/>
        <v>0</v>
      </c>
      <c r="G11" s="804">
        <f t="shared" si="5"/>
        <v>0.01657458564</v>
      </c>
      <c r="H11" s="804">
        <f t="shared" si="5"/>
        <v>0</v>
      </c>
      <c r="I11" s="804">
        <f t="shared" si="5"/>
        <v>0.01234567901</v>
      </c>
      <c r="J11" s="804">
        <f t="shared" si="5"/>
        <v>0.05726872247</v>
      </c>
      <c r="K11" s="804">
        <f t="shared" si="5"/>
        <v>0.003846153846</v>
      </c>
      <c r="L11" s="804">
        <f t="shared" si="5"/>
        <v>0.02822580645</v>
      </c>
      <c r="M11" s="804">
        <f t="shared" si="5"/>
        <v>0.1</v>
      </c>
      <c r="N11" s="804">
        <f t="shared" si="5"/>
        <v>0</v>
      </c>
      <c r="O11" s="804">
        <f t="shared" si="5"/>
        <v>0.05284552846</v>
      </c>
      <c r="P11" s="804">
        <f t="shared" si="5"/>
        <v>0.02024291498</v>
      </c>
      <c r="Q11" s="804">
        <f t="shared" si="5"/>
        <v>0.05714285714</v>
      </c>
      <c r="R11" s="804">
        <f t="shared" si="5"/>
        <v>0.05909090909</v>
      </c>
      <c r="S11" s="804">
        <f t="shared" si="5"/>
        <v>0</v>
      </c>
      <c r="T11" s="805">
        <f t="shared" si="5"/>
        <v>0.032</v>
      </c>
      <c r="U11" s="804">
        <f t="shared" si="5"/>
        <v>0.01140684411</v>
      </c>
      <c r="V11" s="804">
        <f t="shared" si="5"/>
        <v>0.02836879433</v>
      </c>
      <c r="W11" s="804">
        <f t="shared" si="5"/>
        <v>0</v>
      </c>
      <c r="X11" s="804">
        <f t="shared" si="5"/>
        <v>0</v>
      </c>
      <c r="Y11" s="804">
        <f t="shared" si="5"/>
        <v>0</v>
      </c>
      <c r="Z11" s="804">
        <f t="shared" si="5"/>
        <v>0</v>
      </c>
      <c r="AA11" s="804">
        <f t="shared" si="5"/>
        <v>0</v>
      </c>
    </row>
    <row r="12">
      <c r="A12" s="778"/>
      <c r="B12" s="806"/>
      <c r="C12" s="802"/>
      <c r="D12" s="802"/>
      <c r="E12" s="802"/>
      <c r="F12" s="802"/>
      <c r="G12" s="802"/>
      <c r="H12" s="802"/>
      <c r="I12" s="802"/>
      <c r="J12" s="802"/>
      <c r="K12" s="802"/>
      <c r="L12" s="802"/>
      <c r="M12" s="802"/>
      <c r="N12" s="802"/>
      <c r="O12" s="802"/>
      <c r="P12" s="802"/>
      <c r="Q12" s="802"/>
      <c r="R12" s="802"/>
      <c r="S12" s="802"/>
      <c r="T12" s="802"/>
      <c r="U12" s="807"/>
      <c r="V12" s="802"/>
      <c r="W12" s="802"/>
      <c r="X12" s="802"/>
      <c r="Y12" s="802"/>
      <c r="Z12" s="802"/>
      <c r="AA12" s="802"/>
    </row>
    <row r="13">
      <c r="A13" s="48" t="s">
        <v>25</v>
      </c>
      <c r="B13" s="808">
        <v>0.0</v>
      </c>
      <c r="C13" s="809">
        <v>0.0</v>
      </c>
      <c r="D13" s="809">
        <v>0.0</v>
      </c>
      <c r="E13" s="809">
        <v>14.0</v>
      </c>
      <c r="F13" s="809">
        <v>26.0</v>
      </c>
      <c r="G13" s="809">
        <v>24.0</v>
      </c>
      <c r="H13" s="809">
        <v>0.0</v>
      </c>
      <c r="I13" s="809">
        <v>5.0</v>
      </c>
      <c r="J13" s="809">
        <v>0.0</v>
      </c>
      <c r="K13" s="809">
        <v>16.0</v>
      </c>
      <c r="L13" s="809">
        <v>4.0</v>
      </c>
      <c r="M13" s="809">
        <v>0.0</v>
      </c>
      <c r="N13" s="809">
        <v>13.0</v>
      </c>
      <c r="O13" s="809">
        <v>0.0</v>
      </c>
      <c r="P13" s="809">
        <v>5.0</v>
      </c>
      <c r="Q13" s="809">
        <v>5.0</v>
      </c>
      <c r="R13" s="809">
        <v>0.0</v>
      </c>
      <c r="S13" s="809">
        <v>0.0</v>
      </c>
      <c r="T13" s="810">
        <v>13.0</v>
      </c>
      <c r="U13" s="811">
        <v>3.0</v>
      </c>
      <c r="V13" s="809">
        <v>3.0</v>
      </c>
      <c r="W13" s="809"/>
      <c r="X13" s="809"/>
      <c r="Y13" s="809"/>
      <c r="Z13" s="809"/>
      <c r="AA13" s="809"/>
    </row>
    <row r="14">
      <c r="A14" s="53" t="s">
        <v>26</v>
      </c>
      <c r="B14" s="812">
        <v>0.0</v>
      </c>
      <c r="C14" s="813">
        <v>0.0</v>
      </c>
      <c r="D14" s="813">
        <v>0.0</v>
      </c>
      <c r="E14" s="813">
        <v>8.0</v>
      </c>
      <c r="F14" s="813">
        <v>26.0</v>
      </c>
      <c r="G14" s="813">
        <v>21.0</v>
      </c>
      <c r="H14" s="813">
        <v>0.0</v>
      </c>
      <c r="I14" s="813">
        <v>5.0</v>
      </c>
      <c r="J14" s="813">
        <v>0.0</v>
      </c>
      <c r="K14" s="813">
        <v>16.0</v>
      </c>
      <c r="L14" s="813">
        <v>0.0</v>
      </c>
      <c r="M14" s="813">
        <v>0.0</v>
      </c>
      <c r="N14" s="813">
        <v>13.0</v>
      </c>
      <c r="O14" s="813">
        <v>0.0</v>
      </c>
      <c r="P14" s="813">
        <v>0.0</v>
      </c>
      <c r="Q14" s="813">
        <v>0.0</v>
      </c>
      <c r="R14" s="813">
        <v>0.0</v>
      </c>
      <c r="S14" s="813">
        <v>0.0</v>
      </c>
      <c r="T14" s="814">
        <v>5.0</v>
      </c>
      <c r="U14" s="815">
        <v>0.0</v>
      </c>
      <c r="V14" s="813">
        <v>0.0</v>
      </c>
      <c r="W14" s="813"/>
      <c r="X14" s="813"/>
      <c r="Y14" s="813"/>
      <c r="Z14" s="813"/>
      <c r="AA14" s="813"/>
    </row>
    <row r="15">
      <c r="A15" s="58" t="s">
        <v>27</v>
      </c>
      <c r="B15" s="816">
        <v>0.0</v>
      </c>
      <c r="C15" s="817">
        <v>0.0</v>
      </c>
      <c r="D15" s="817">
        <v>0.0</v>
      </c>
      <c r="E15" s="817">
        <v>6.0</v>
      </c>
      <c r="F15" s="817">
        <v>0.0</v>
      </c>
      <c r="G15" s="817">
        <v>3.0</v>
      </c>
      <c r="H15" s="817">
        <v>0.0</v>
      </c>
      <c r="I15" s="817">
        <v>0.0</v>
      </c>
      <c r="J15" s="817">
        <v>0.0</v>
      </c>
      <c r="K15" s="817">
        <v>0.0</v>
      </c>
      <c r="L15" s="817">
        <v>4.0</v>
      </c>
      <c r="M15" s="817">
        <v>0.0</v>
      </c>
      <c r="N15" s="817">
        <v>0.0</v>
      </c>
      <c r="O15" s="817">
        <v>0.0</v>
      </c>
      <c r="P15" s="817">
        <v>5.0</v>
      </c>
      <c r="Q15" s="817">
        <v>5.0</v>
      </c>
      <c r="R15" s="817">
        <v>0.0</v>
      </c>
      <c r="S15" s="817">
        <v>0.0</v>
      </c>
      <c r="T15" s="818">
        <v>8.0</v>
      </c>
      <c r="U15" s="819">
        <v>3.0</v>
      </c>
      <c r="V15" s="817">
        <v>3.0</v>
      </c>
      <c r="W15" s="817"/>
      <c r="X15" s="817"/>
      <c r="Y15" s="817"/>
      <c r="Z15" s="817"/>
      <c r="AA15" s="817"/>
    </row>
    <row r="16">
      <c r="A16" s="56"/>
      <c r="B16" s="820"/>
      <c r="C16" s="814"/>
      <c r="D16" s="814"/>
      <c r="E16" s="814"/>
      <c r="F16" s="814"/>
      <c r="G16" s="814"/>
      <c r="H16" s="814"/>
      <c r="I16" s="814"/>
      <c r="J16" s="814"/>
      <c r="K16" s="814"/>
      <c r="L16" s="814"/>
      <c r="M16" s="814"/>
      <c r="N16" s="814"/>
      <c r="O16" s="814"/>
      <c r="P16" s="814"/>
      <c r="Q16" s="814"/>
      <c r="R16" s="814"/>
      <c r="S16" s="814"/>
      <c r="T16" s="814"/>
      <c r="U16" s="821"/>
      <c r="V16" s="814"/>
      <c r="W16" s="814"/>
      <c r="X16" s="814"/>
      <c r="Y16" s="814"/>
      <c r="Z16" s="814"/>
      <c r="AA16" s="814"/>
    </row>
    <row r="17">
      <c r="A17" s="65" t="s">
        <v>28</v>
      </c>
      <c r="B17" s="822">
        <v>0.0</v>
      </c>
      <c r="C17" s="823">
        <v>0.0</v>
      </c>
      <c r="D17" s="823">
        <v>0.0</v>
      </c>
      <c r="E17" s="823">
        <v>0.0</v>
      </c>
      <c r="F17" s="823">
        <v>0.0</v>
      </c>
      <c r="G17" s="823">
        <v>0.0</v>
      </c>
      <c r="H17" s="823">
        <v>0.0</v>
      </c>
      <c r="I17" s="823">
        <v>0.0</v>
      </c>
      <c r="J17" s="823">
        <v>0.0</v>
      </c>
      <c r="K17" s="823">
        <v>0.0</v>
      </c>
      <c r="L17" s="823">
        <v>0.0</v>
      </c>
      <c r="M17" s="823">
        <v>0.0</v>
      </c>
      <c r="N17" s="823">
        <v>0.0</v>
      </c>
      <c r="O17" s="823">
        <v>0.0</v>
      </c>
      <c r="P17" s="823">
        <v>0.0</v>
      </c>
      <c r="Q17" s="823"/>
      <c r="R17" s="823">
        <v>0.0</v>
      </c>
      <c r="S17" s="823">
        <v>0.0</v>
      </c>
      <c r="T17" s="824">
        <v>0.0</v>
      </c>
      <c r="U17" s="825">
        <v>0.0</v>
      </c>
      <c r="V17" s="823">
        <v>0.0</v>
      </c>
      <c r="W17" s="823">
        <v>0.0</v>
      </c>
      <c r="X17" s="823">
        <v>0.0</v>
      </c>
      <c r="Y17" s="823">
        <v>0.0</v>
      </c>
      <c r="Z17" s="823">
        <v>0.0</v>
      </c>
      <c r="AA17" s="823">
        <v>0.0</v>
      </c>
    </row>
    <row r="18">
      <c r="A18" s="65" t="s">
        <v>29</v>
      </c>
      <c r="B18" s="822">
        <v>0.0</v>
      </c>
      <c r="C18" s="823">
        <v>0.0</v>
      </c>
      <c r="D18" s="823">
        <v>0.0</v>
      </c>
      <c r="E18" s="823">
        <v>0.0</v>
      </c>
      <c r="F18" s="823">
        <v>0.0</v>
      </c>
      <c r="G18" s="823">
        <v>0.0</v>
      </c>
      <c r="H18" s="823">
        <v>0.0</v>
      </c>
      <c r="I18" s="823">
        <v>0.0</v>
      </c>
      <c r="J18" s="823">
        <v>0.0</v>
      </c>
      <c r="K18" s="823">
        <v>0.0</v>
      </c>
      <c r="L18" s="823">
        <v>0.0</v>
      </c>
      <c r="M18" s="823">
        <v>0.0</v>
      </c>
      <c r="N18" s="823">
        <v>0.0</v>
      </c>
      <c r="O18" s="823">
        <v>0.0</v>
      </c>
      <c r="P18" s="823">
        <v>0.0</v>
      </c>
      <c r="Q18" s="823"/>
      <c r="R18" s="823">
        <v>0.0</v>
      </c>
      <c r="S18" s="823">
        <v>0.0</v>
      </c>
      <c r="T18" s="824">
        <v>0.0</v>
      </c>
      <c r="U18" s="825">
        <v>0.0</v>
      </c>
      <c r="V18" s="823">
        <v>0.0</v>
      </c>
      <c r="W18" s="823">
        <v>0.0</v>
      </c>
      <c r="X18" s="823">
        <v>0.0</v>
      </c>
      <c r="Y18" s="823">
        <v>0.0</v>
      </c>
      <c r="Z18" s="823">
        <v>0.0</v>
      </c>
      <c r="AA18" s="823">
        <v>0.0</v>
      </c>
    </row>
    <row r="19">
      <c r="A19" s="69" t="s">
        <v>30</v>
      </c>
      <c r="B19" s="826">
        <f t="shared" ref="B19:C19" si="6">B7-B22</f>
        <v>111</v>
      </c>
      <c r="C19" s="826">
        <f t="shared" si="6"/>
        <v>139</v>
      </c>
      <c r="D19" s="827">
        <f t="shared" ref="D19:D20" si="8">sum(D51:D57)</f>
        <v>135</v>
      </c>
      <c r="E19" s="827">
        <f>SUM(E51:E57)</f>
        <v>163</v>
      </c>
      <c r="F19" s="827">
        <v>190.0</v>
      </c>
      <c r="G19" s="827">
        <v>181.0</v>
      </c>
      <c r="H19" s="827">
        <v>127.0</v>
      </c>
      <c r="I19" s="827">
        <f t="shared" ref="I19:J19" si="7">SUM(I51:I57)</f>
        <v>222</v>
      </c>
      <c r="J19" s="827">
        <f t="shared" si="7"/>
        <v>201</v>
      </c>
      <c r="K19" s="827">
        <f t="shared" ref="K19:K20" si="9">260-21</f>
        <v>239</v>
      </c>
      <c r="L19" s="827">
        <v>245.0</v>
      </c>
      <c r="M19" s="827">
        <v>189.0</v>
      </c>
      <c r="N19" s="827">
        <f t="shared" ref="N19:N20" si="10">234-29</f>
        <v>205</v>
      </c>
      <c r="O19" s="827">
        <v>222.0</v>
      </c>
      <c r="P19" s="827">
        <f t="shared" ref="P19:P20" si="11">226+21</f>
        <v>247</v>
      </c>
      <c r="Q19" s="827">
        <v>175.0</v>
      </c>
      <c r="R19" s="827">
        <v>212.0</v>
      </c>
      <c r="S19" s="827">
        <v>204.0</v>
      </c>
      <c r="T19" s="827">
        <v>224.0</v>
      </c>
      <c r="U19" s="828">
        <v>221.0</v>
      </c>
      <c r="V19" s="827"/>
      <c r="W19" s="827"/>
      <c r="X19" s="827"/>
      <c r="Y19" s="827"/>
      <c r="Z19" s="827"/>
      <c r="AA19" s="829"/>
      <c r="AB19" s="73"/>
      <c r="AC19" s="73"/>
    </row>
    <row r="20">
      <c r="A20" s="74" t="s">
        <v>31</v>
      </c>
      <c r="B20" s="830">
        <v>111.0</v>
      </c>
      <c r="C20" s="831">
        <v>139.0</v>
      </c>
      <c r="D20" s="827">
        <f t="shared" si="8"/>
        <v>135</v>
      </c>
      <c r="E20" s="827">
        <v>163.0</v>
      </c>
      <c r="F20" s="831">
        <v>190.0</v>
      </c>
      <c r="G20" s="831">
        <v>181.0</v>
      </c>
      <c r="H20" s="831">
        <v>127.0</v>
      </c>
      <c r="I20" s="831">
        <v>222.0</v>
      </c>
      <c r="J20" s="831">
        <v>201.0</v>
      </c>
      <c r="K20" s="827">
        <f t="shared" si="9"/>
        <v>239</v>
      </c>
      <c r="L20" s="827">
        <v>245.0</v>
      </c>
      <c r="M20" s="831">
        <v>189.0</v>
      </c>
      <c r="N20" s="827">
        <f t="shared" si="10"/>
        <v>205</v>
      </c>
      <c r="O20" s="827">
        <v>222.0</v>
      </c>
      <c r="P20" s="831">
        <f t="shared" si="11"/>
        <v>247</v>
      </c>
      <c r="Q20" s="827">
        <v>175.0</v>
      </c>
      <c r="R20" s="831">
        <v>212.0</v>
      </c>
      <c r="S20" s="831">
        <v>204.0</v>
      </c>
      <c r="T20" s="831">
        <v>224.0</v>
      </c>
      <c r="U20" s="832">
        <v>221.0</v>
      </c>
      <c r="V20" s="831"/>
      <c r="W20" s="831"/>
      <c r="X20" s="831"/>
      <c r="Y20" s="831"/>
      <c r="Z20" s="831"/>
      <c r="AA20" s="833"/>
      <c r="AB20" s="78"/>
      <c r="AC20" s="78"/>
    </row>
    <row r="21">
      <c r="A21" s="69" t="s">
        <v>32</v>
      </c>
      <c r="B21" s="826"/>
      <c r="C21" s="827"/>
      <c r="D21" s="827"/>
      <c r="E21" s="827"/>
      <c r="F21" s="827"/>
      <c r="G21" s="827"/>
      <c r="H21" s="827"/>
      <c r="I21" s="827"/>
      <c r="J21" s="827"/>
      <c r="K21" s="827"/>
      <c r="L21" s="827"/>
      <c r="M21" s="827"/>
      <c r="N21" s="827"/>
      <c r="O21" s="827"/>
      <c r="P21" s="827"/>
      <c r="Q21" s="827"/>
      <c r="R21" s="827"/>
      <c r="S21" s="827"/>
      <c r="T21" s="827"/>
      <c r="U21" s="828"/>
      <c r="V21" s="827"/>
      <c r="W21" s="827"/>
      <c r="X21" s="827"/>
      <c r="Y21" s="827"/>
      <c r="Z21" s="827"/>
      <c r="AA21" s="829"/>
      <c r="AB21" s="73"/>
      <c r="AC21" s="73"/>
    </row>
    <row r="22">
      <c r="A22" s="79" t="s">
        <v>33</v>
      </c>
      <c r="B22" s="834">
        <v>21.0</v>
      </c>
      <c r="C22" s="834">
        <v>13.0</v>
      </c>
      <c r="D22" s="834">
        <v>21.0</v>
      </c>
      <c r="E22" s="834">
        <v>21.0</v>
      </c>
      <c r="F22" s="835">
        <v>0.0</v>
      </c>
      <c r="G22" s="835">
        <v>0.0</v>
      </c>
      <c r="H22" s="835">
        <v>0.0</v>
      </c>
      <c r="I22" s="835">
        <v>21.0</v>
      </c>
      <c r="J22" s="835">
        <v>26.0</v>
      </c>
      <c r="K22" s="835">
        <v>21.0</v>
      </c>
      <c r="L22" s="835">
        <v>0.0</v>
      </c>
      <c r="M22" s="835">
        <v>21.0</v>
      </c>
      <c r="N22" s="835">
        <f>21+8</f>
        <v>29</v>
      </c>
      <c r="O22" s="835">
        <f>21+13+5</f>
        <v>39</v>
      </c>
      <c r="P22" s="835">
        <v>0.0</v>
      </c>
      <c r="Q22" s="836">
        <v>0.0</v>
      </c>
      <c r="R22" s="835">
        <v>8.0</v>
      </c>
      <c r="S22" s="835">
        <f>218-204</f>
        <v>14</v>
      </c>
      <c r="T22" s="837">
        <v>26.0</v>
      </c>
      <c r="U22" s="835">
        <v>42.0</v>
      </c>
      <c r="V22" s="835"/>
      <c r="W22" s="835"/>
      <c r="X22" s="835"/>
      <c r="Y22" s="835"/>
      <c r="Z22" s="835"/>
      <c r="AA22" s="835"/>
    </row>
    <row r="23">
      <c r="A23" s="82" t="s">
        <v>34</v>
      </c>
      <c r="B23" s="838"/>
      <c r="C23" s="838"/>
      <c r="D23" s="839"/>
      <c r="E23" s="839"/>
      <c r="F23" s="839"/>
      <c r="G23" s="839"/>
      <c r="H23" s="839"/>
      <c r="I23" s="839"/>
      <c r="J23" s="839"/>
      <c r="K23" s="839"/>
      <c r="L23" s="839"/>
      <c r="M23" s="839"/>
      <c r="N23" s="839"/>
      <c r="O23" s="839"/>
      <c r="P23" s="839"/>
      <c r="Q23" s="827"/>
      <c r="R23" s="840"/>
      <c r="S23" s="840"/>
      <c r="T23" s="840"/>
      <c r="U23" s="841"/>
      <c r="V23" s="840"/>
      <c r="W23" s="840"/>
      <c r="X23" s="840"/>
      <c r="Y23" s="840"/>
      <c r="Z23" s="840"/>
      <c r="AA23" s="842"/>
      <c r="AB23" s="87"/>
      <c r="AC23" s="87"/>
    </row>
    <row r="24">
      <c r="A24" s="843" t="s">
        <v>35</v>
      </c>
      <c r="B24" s="91" t="s">
        <v>1524</v>
      </c>
      <c r="C24" s="91" t="s">
        <v>1525</v>
      </c>
      <c r="D24" s="91" t="s">
        <v>1526</v>
      </c>
      <c r="E24" s="844" t="s">
        <v>1527</v>
      </c>
      <c r="F24" s="282" t="s">
        <v>1528</v>
      </c>
      <c r="G24" s="91" t="s">
        <v>1529</v>
      </c>
      <c r="H24" s="845" t="s">
        <v>1530</v>
      </c>
      <c r="I24" s="845" t="s">
        <v>1531</v>
      </c>
      <c r="J24" s="91" t="s">
        <v>1532</v>
      </c>
      <c r="K24" s="846" t="s">
        <v>1533</v>
      </c>
      <c r="L24" s="91" t="s">
        <v>1534</v>
      </c>
      <c r="M24" s="91" t="s">
        <v>1535</v>
      </c>
      <c r="N24" s="91" t="s">
        <v>1536</v>
      </c>
      <c r="O24" s="845" t="s">
        <v>1537</v>
      </c>
      <c r="P24" s="845" t="s">
        <v>1538</v>
      </c>
      <c r="Q24" s="845" t="s">
        <v>1539</v>
      </c>
      <c r="R24" s="91" t="s">
        <v>1540</v>
      </c>
      <c r="S24" s="91" t="s">
        <v>1541</v>
      </c>
      <c r="T24" s="847" t="s">
        <v>1542</v>
      </c>
      <c r="U24" s="91" t="s">
        <v>1543</v>
      </c>
      <c r="V24" s="91" t="s">
        <v>1544</v>
      </c>
      <c r="W24" s="91"/>
      <c r="X24" s="91"/>
      <c r="Y24" s="91"/>
      <c r="Z24" s="91"/>
      <c r="AA24" s="91"/>
      <c r="AB24" s="94"/>
      <c r="AC24" s="94"/>
    </row>
    <row r="25">
      <c r="A25" s="96" t="s">
        <v>36</v>
      </c>
      <c r="B25" s="97">
        <v>1.0</v>
      </c>
      <c r="C25" s="97">
        <v>1.0</v>
      </c>
      <c r="D25" s="97">
        <v>1.0</v>
      </c>
      <c r="E25" s="97">
        <v>1.0</v>
      </c>
      <c r="F25" s="97">
        <v>1.0</v>
      </c>
      <c r="G25" s="97">
        <v>1.0</v>
      </c>
      <c r="H25" s="97">
        <v>1.0</v>
      </c>
      <c r="I25" s="97">
        <v>0.0</v>
      </c>
      <c r="J25" s="97">
        <v>1.0</v>
      </c>
      <c r="K25" s="97">
        <v>1.0</v>
      </c>
      <c r="L25" s="97">
        <v>1.0</v>
      </c>
      <c r="M25" s="97">
        <v>1.0</v>
      </c>
      <c r="N25" s="97">
        <v>1.0</v>
      </c>
      <c r="O25" s="97">
        <v>1.0</v>
      </c>
      <c r="P25" s="97">
        <v>1.0</v>
      </c>
      <c r="Q25" s="97">
        <v>1.0</v>
      </c>
      <c r="R25" s="97">
        <v>1.0</v>
      </c>
      <c r="S25" s="97">
        <v>1.0</v>
      </c>
      <c r="T25" s="444">
        <v>1.0</v>
      </c>
      <c r="U25" s="97">
        <v>1.0</v>
      </c>
      <c r="V25" s="98">
        <v>0.0</v>
      </c>
      <c r="W25" s="98">
        <v>0.0</v>
      </c>
      <c r="X25" s="98">
        <v>0.0</v>
      </c>
      <c r="Y25" s="98">
        <v>0.0</v>
      </c>
      <c r="Z25" s="98">
        <v>0.0</v>
      </c>
      <c r="AA25" s="98">
        <v>0.0</v>
      </c>
      <c r="AB25" s="99"/>
      <c r="AC25" s="99"/>
    </row>
    <row r="26">
      <c r="A26" s="101" t="s">
        <v>37</v>
      </c>
      <c r="B26" s="848">
        <f t="shared" ref="B26:AA26" si="12">IFERROR(B20/B8, 0)</f>
        <v>0.880952381</v>
      </c>
      <c r="C26" s="848">
        <f t="shared" si="12"/>
        <v>0.9144736842</v>
      </c>
      <c r="D26" s="848">
        <f t="shared" si="12"/>
        <v>0.8653846154</v>
      </c>
      <c r="E26" s="848">
        <f t="shared" si="12"/>
        <v>0.9760479042</v>
      </c>
      <c r="F26" s="848">
        <f t="shared" si="12"/>
        <v>1</v>
      </c>
      <c r="G26" s="848">
        <f t="shared" si="12"/>
        <v>1.016853933</v>
      </c>
      <c r="H26" s="848">
        <f t="shared" si="12"/>
        <v>1</v>
      </c>
      <c r="I26" s="848">
        <f t="shared" si="12"/>
        <v>0.925</v>
      </c>
      <c r="J26" s="848">
        <f t="shared" si="12"/>
        <v>0.9392523364</v>
      </c>
      <c r="K26" s="848">
        <f t="shared" si="12"/>
        <v>0.9227799228</v>
      </c>
      <c r="L26" s="848">
        <f t="shared" si="12"/>
        <v>1.01659751</v>
      </c>
      <c r="M26" s="848">
        <f t="shared" si="12"/>
        <v>1</v>
      </c>
      <c r="N26" s="848">
        <f t="shared" si="12"/>
        <v>0.8760683761</v>
      </c>
      <c r="O26" s="848">
        <f t="shared" si="12"/>
        <v>0.9527896996</v>
      </c>
      <c r="P26" s="848">
        <f t="shared" si="12"/>
        <v>1.020661157</v>
      </c>
      <c r="Q26" s="848">
        <f t="shared" si="12"/>
        <v>1.060606061</v>
      </c>
      <c r="R26" s="848">
        <f t="shared" si="12"/>
        <v>1.024154589</v>
      </c>
      <c r="S26" s="848">
        <f t="shared" si="12"/>
        <v>0.9357798165</v>
      </c>
      <c r="T26" s="849">
        <f t="shared" si="12"/>
        <v>0.9256198347</v>
      </c>
      <c r="U26" s="848">
        <f t="shared" si="12"/>
        <v>0.85</v>
      </c>
      <c r="V26" s="848">
        <f t="shared" si="12"/>
        <v>0</v>
      </c>
      <c r="W26" s="848">
        <f t="shared" si="12"/>
        <v>0</v>
      </c>
      <c r="X26" s="848">
        <f t="shared" si="12"/>
        <v>0</v>
      </c>
      <c r="Y26" s="848">
        <f t="shared" si="12"/>
        <v>0</v>
      </c>
      <c r="Z26" s="848">
        <f t="shared" si="12"/>
        <v>0</v>
      </c>
      <c r="AA26" s="848">
        <f t="shared" si="12"/>
        <v>0</v>
      </c>
    </row>
    <row r="27">
      <c r="A27" s="105" t="s">
        <v>38</v>
      </c>
      <c r="B27" s="850">
        <f t="shared" ref="B27:AA27" si="13">IFERROR(B13/B19, 0)</f>
        <v>0</v>
      </c>
      <c r="C27" s="850">
        <f t="shared" si="13"/>
        <v>0</v>
      </c>
      <c r="D27" s="850">
        <f t="shared" si="13"/>
        <v>0</v>
      </c>
      <c r="E27" s="850">
        <f t="shared" si="13"/>
        <v>0.08588957055</v>
      </c>
      <c r="F27" s="850">
        <f t="shared" si="13"/>
        <v>0.1368421053</v>
      </c>
      <c r="G27" s="850">
        <f t="shared" si="13"/>
        <v>0.1325966851</v>
      </c>
      <c r="H27" s="850">
        <f t="shared" si="13"/>
        <v>0</v>
      </c>
      <c r="I27" s="850">
        <f t="shared" si="13"/>
        <v>0.02252252252</v>
      </c>
      <c r="J27" s="850">
        <f t="shared" si="13"/>
        <v>0</v>
      </c>
      <c r="K27" s="850">
        <f t="shared" si="13"/>
        <v>0.06694560669</v>
      </c>
      <c r="L27" s="850">
        <f t="shared" si="13"/>
        <v>0.01632653061</v>
      </c>
      <c r="M27" s="850">
        <f t="shared" si="13"/>
        <v>0</v>
      </c>
      <c r="N27" s="850">
        <f t="shared" si="13"/>
        <v>0.06341463415</v>
      </c>
      <c r="O27" s="850">
        <f t="shared" si="13"/>
        <v>0</v>
      </c>
      <c r="P27" s="850">
        <f t="shared" si="13"/>
        <v>0.02024291498</v>
      </c>
      <c r="Q27" s="850">
        <f t="shared" si="13"/>
        <v>0.02857142857</v>
      </c>
      <c r="R27" s="850">
        <f t="shared" si="13"/>
        <v>0</v>
      </c>
      <c r="S27" s="850">
        <f t="shared" si="13"/>
        <v>0</v>
      </c>
      <c r="T27" s="851">
        <f t="shared" si="13"/>
        <v>0.05803571429</v>
      </c>
      <c r="U27" s="850">
        <f t="shared" si="13"/>
        <v>0.01357466063</v>
      </c>
      <c r="V27" s="850">
        <f t="shared" si="13"/>
        <v>0</v>
      </c>
      <c r="W27" s="850">
        <f t="shared" si="13"/>
        <v>0</v>
      </c>
      <c r="X27" s="850">
        <f t="shared" si="13"/>
        <v>0</v>
      </c>
      <c r="Y27" s="850">
        <f t="shared" si="13"/>
        <v>0</v>
      </c>
      <c r="Z27" s="850">
        <f t="shared" si="13"/>
        <v>0</v>
      </c>
      <c r="AA27" s="850">
        <f t="shared" si="13"/>
        <v>0</v>
      </c>
    </row>
    <row r="28">
      <c r="A28" s="109" t="s">
        <v>39</v>
      </c>
      <c r="B28" s="852">
        <f t="shared" ref="B28:AA28" si="14">B26</f>
        <v>0.880952381</v>
      </c>
      <c r="C28" s="852">
        <f t="shared" si="14"/>
        <v>0.9144736842</v>
      </c>
      <c r="D28" s="852">
        <f t="shared" si="14"/>
        <v>0.8653846154</v>
      </c>
      <c r="E28" s="852">
        <f t="shared" si="14"/>
        <v>0.9760479042</v>
      </c>
      <c r="F28" s="852">
        <f t="shared" si="14"/>
        <v>1</v>
      </c>
      <c r="G28" s="852">
        <f t="shared" si="14"/>
        <v>1.016853933</v>
      </c>
      <c r="H28" s="852">
        <f t="shared" si="14"/>
        <v>1</v>
      </c>
      <c r="I28" s="852">
        <f t="shared" si="14"/>
        <v>0.925</v>
      </c>
      <c r="J28" s="852">
        <f t="shared" si="14"/>
        <v>0.9392523364</v>
      </c>
      <c r="K28" s="852">
        <f t="shared" si="14"/>
        <v>0.9227799228</v>
      </c>
      <c r="L28" s="852">
        <f t="shared" si="14"/>
        <v>1.01659751</v>
      </c>
      <c r="M28" s="852">
        <f t="shared" si="14"/>
        <v>1</v>
      </c>
      <c r="N28" s="852">
        <f t="shared" si="14"/>
        <v>0.8760683761</v>
      </c>
      <c r="O28" s="852">
        <f t="shared" si="14"/>
        <v>0.9527896996</v>
      </c>
      <c r="P28" s="852">
        <f t="shared" si="14"/>
        <v>1.020661157</v>
      </c>
      <c r="Q28" s="852">
        <f t="shared" si="14"/>
        <v>1.060606061</v>
      </c>
      <c r="R28" s="852">
        <f t="shared" si="14"/>
        <v>1.024154589</v>
      </c>
      <c r="S28" s="852">
        <f t="shared" si="14"/>
        <v>0.9357798165</v>
      </c>
      <c r="T28" s="853">
        <f t="shared" si="14"/>
        <v>0.9256198347</v>
      </c>
      <c r="U28" s="852">
        <f t="shared" si="14"/>
        <v>0.85</v>
      </c>
      <c r="V28" s="852">
        <f t="shared" si="14"/>
        <v>0</v>
      </c>
      <c r="W28" s="852">
        <f t="shared" si="14"/>
        <v>0</v>
      </c>
      <c r="X28" s="852">
        <f t="shared" si="14"/>
        <v>0</v>
      </c>
      <c r="Y28" s="852">
        <f t="shared" si="14"/>
        <v>0</v>
      </c>
      <c r="Z28" s="852">
        <f t="shared" si="14"/>
        <v>0</v>
      </c>
      <c r="AA28" s="852">
        <f t="shared" si="14"/>
        <v>0</v>
      </c>
    </row>
    <row r="29">
      <c r="A29" s="114" t="s">
        <v>40</v>
      </c>
      <c r="B29" s="854"/>
      <c r="C29" s="854"/>
      <c r="D29" s="854"/>
      <c r="E29" s="854"/>
      <c r="F29" s="854"/>
      <c r="G29" s="854"/>
      <c r="H29" s="854"/>
      <c r="I29" s="854"/>
      <c r="J29" s="854"/>
      <c r="K29" s="854"/>
      <c r="L29" s="854"/>
      <c r="M29" s="854"/>
      <c r="N29" s="854"/>
      <c r="O29" s="854"/>
      <c r="P29" s="854"/>
      <c r="Q29" s="854"/>
      <c r="R29" s="854"/>
      <c r="S29" s="854"/>
      <c r="T29" s="855"/>
      <c r="U29" s="854"/>
      <c r="V29" s="854"/>
      <c r="W29" s="854"/>
      <c r="X29" s="854"/>
      <c r="Y29" s="854"/>
      <c r="Z29" s="854"/>
      <c r="AA29" s="854"/>
    </row>
    <row r="30">
      <c r="A30" s="117" t="s">
        <v>41</v>
      </c>
      <c r="B30" s="856"/>
      <c r="C30" s="857"/>
      <c r="D30" s="857"/>
      <c r="E30" s="857"/>
      <c r="F30" s="857"/>
      <c r="G30" s="857"/>
      <c r="H30" s="857"/>
      <c r="I30" s="857"/>
      <c r="J30" s="857"/>
      <c r="K30" s="857"/>
      <c r="L30" s="857"/>
      <c r="M30" s="857"/>
      <c r="N30" s="857"/>
      <c r="O30" s="857"/>
      <c r="P30" s="857"/>
      <c r="Q30" s="857"/>
      <c r="R30" s="857"/>
      <c r="S30" s="857"/>
      <c r="T30" s="858"/>
      <c r="U30" s="857"/>
      <c r="V30" s="857"/>
      <c r="W30" s="857"/>
      <c r="X30" s="857"/>
      <c r="Y30" s="857"/>
      <c r="Z30" s="857"/>
      <c r="AA30" s="857"/>
    </row>
    <row r="31">
      <c r="A31" s="859" t="s">
        <v>1545</v>
      </c>
      <c r="B31" s="860"/>
      <c r="C31" s="861"/>
      <c r="D31" s="861"/>
      <c r="E31" s="861"/>
      <c r="F31" s="861"/>
      <c r="G31" s="861"/>
      <c r="H31" s="861"/>
      <c r="I31" s="861"/>
      <c r="J31" s="861"/>
      <c r="K31" s="861"/>
      <c r="L31" s="861"/>
      <c r="M31" s="861"/>
      <c r="N31" s="861"/>
      <c r="O31" s="861"/>
      <c r="P31" s="861"/>
      <c r="Q31" s="861"/>
      <c r="R31" s="861"/>
      <c r="S31" s="861"/>
      <c r="T31" s="862"/>
      <c r="U31" s="863">
        <f t="shared" ref="U31:AA31" si="15">IFERROR(U9/U8, "")</f>
        <v>0.5423076923</v>
      </c>
      <c r="V31" s="863">
        <f t="shared" si="15"/>
        <v>0.7554744526</v>
      </c>
      <c r="W31" s="863" t="str">
        <f t="shared" si="15"/>
        <v/>
      </c>
      <c r="X31" s="863" t="str">
        <f t="shared" si="15"/>
        <v/>
      </c>
      <c r="Y31" s="863" t="str">
        <f t="shared" si="15"/>
        <v/>
      </c>
      <c r="Z31" s="863" t="str">
        <f t="shared" si="15"/>
        <v/>
      </c>
      <c r="AA31" s="863" t="str">
        <f t="shared" si="15"/>
        <v/>
      </c>
    </row>
    <row r="32" ht="21.75" customHeight="1">
      <c r="A32" s="184" t="s">
        <v>141</v>
      </c>
      <c r="B32" s="240"/>
      <c r="C32" s="240"/>
      <c r="D32" s="240"/>
      <c r="E32" s="240"/>
      <c r="F32" s="240"/>
      <c r="G32" s="240"/>
      <c r="H32" s="240"/>
      <c r="I32" s="240"/>
      <c r="J32" s="240"/>
      <c r="K32" s="240"/>
      <c r="L32" s="240"/>
      <c r="M32" s="240"/>
      <c r="N32" s="240"/>
      <c r="O32" s="864">
        <f t="shared" ref="O32:AA32" si="16">O60/O8</f>
        <v>0</v>
      </c>
      <c r="P32" s="864">
        <f t="shared" si="16"/>
        <v>0</v>
      </c>
      <c r="Q32" s="864">
        <f t="shared" si="16"/>
        <v>0</v>
      </c>
      <c r="R32" s="864">
        <f t="shared" si="16"/>
        <v>0</v>
      </c>
      <c r="S32" s="864">
        <f t="shared" si="16"/>
        <v>0</v>
      </c>
      <c r="T32" s="865">
        <f t="shared" si="16"/>
        <v>0</v>
      </c>
      <c r="U32" s="864">
        <f t="shared" si="16"/>
        <v>0</v>
      </c>
      <c r="V32" s="864">
        <f t="shared" si="16"/>
        <v>0</v>
      </c>
      <c r="W32" s="864" t="str">
        <f t="shared" si="16"/>
        <v>#DIV/0!</v>
      </c>
      <c r="X32" s="864" t="str">
        <f t="shared" si="16"/>
        <v>#DIV/0!</v>
      </c>
      <c r="Y32" s="864" t="str">
        <f t="shared" si="16"/>
        <v>#DIV/0!</v>
      </c>
      <c r="Z32" s="864" t="str">
        <f t="shared" si="16"/>
        <v>#DIV/0!</v>
      </c>
      <c r="AA32" s="864" t="str">
        <f t="shared" si="16"/>
        <v>#DIV/0!</v>
      </c>
      <c r="AB32" s="701"/>
      <c r="AC32" s="186"/>
    </row>
    <row r="33" ht="21.75" customHeight="1">
      <c r="A33" s="866" t="s">
        <v>42</v>
      </c>
      <c r="B33" s="867">
        <v>0.33</v>
      </c>
      <c r="C33" s="868">
        <v>0.53</v>
      </c>
      <c r="D33" s="867">
        <f>89/D7</f>
        <v>0.5705128205</v>
      </c>
      <c r="E33" s="868">
        <f>89/E8</f>
        <v>0.5329341317</v>
      </c>
      <c r="F33" s="868">
        <f>65/F8</f>
        <v>0.3421052632</v>
      </c>
      <c r="G33" s="868">
        <f>76/G8</f>
        <v>0.4269662921</v>
      </c>
      <c r="H33" s="868">
        <f>(21+13+13)/127</f>
        <v>0.3700787402</v>
      </c>
      <c r="I33" s="868">
        <f>(13+34+34+21+13)/240</f>
        <v>0.4791666667</v>
      </c>
      <c r="J33" s="868">
        <f>89/J8</f>
        <v>0.4158878505</v>
      </c>
      <c r="K33" s="868">
        <f>97/K8</f>
        <v>0.3745173745</v>
      </c>
      <c r="L33" s="868">
        <f>102/L8</f>
        <v>0.4232365145</v>
      </c>
      <c r="M33" s="868">
        <f>76/189</f>
        <v>0.4021164021</v>
      </c>
      <c r="N33" s="868">
        <f>(13+34+21+13)/N8</f>
        <v>0.3461538462</v>
      </c>
      <c r="O33" s="868">
        <f>(8+13+21+21+21+13)/O8</f>
        <v>0.4163090129</v>
      </c>
      <c r="P33" s="868">
        <f>103/P8</f>
        <v>0.4256198347</v>
      </c>
      <c r="Q33" s="867">
        <f>60/Q8</f>
        <v>0.3636363636</v>
      </c>
      <c r="R33" s="868">
        <f>123/SUM(R40:R46)</f>
        <v>0.5942028986</v>
      </c>
      <c r="S33" s="868">
        <f>81/S7</f>
        <v>0.371559633</v>
      </c>
      <c r="T33" s="869">
        <f>94/T8</f>
        <v>0.3884297521</v>
      </c>
      <c r="U33" s="868">
        <f>102/sum(U40:U46)</f>
        <v>0.3923076923</v>
      </c>
      <c r="V33" s="868">
        <f>SUM(34+55+34)/V8</f>
        <v>0.4489051095</v>
      </c>
      <c r="W33" s="868"/>
      <c r="X33" s="868"/>
      <c r="Y33" s="868"/>
      <c r="Z33" s="868"/>
      <c r="AA33" s="868"/>
      <c r="AB33" s="870"/>
      <c r="AC33" s="870"/>
    </row>
    <row r="34">
      <c r="A34" s="480" t="s">
        <v>1546</v>
      </c>
      <c r="B34" s="871">
        <f t="shared" ref="B34:AA34" si="17">COUNTIF(B40:B47, "&gt;=8")</f>
        <v>4</v>
      </c>
      <c r="C34" s="871">
        <f t="shared" si="17"/>
        <v>5</v>
      </c>
      <c r="D34" s="871">
        <f t="shared" si="17"/>
        <v>4</v>
      </c>
      <c r="E34" s="871">
        <f t="shared" si="17"/>
        <v>5</v>
      </c>
      <c r="F34" s="871">
        <f t="shared" si="17"/>
        <v>5</v>
      </c>
      <c r="G34" s="871">
        <f t="shared" si="17"/>
        <v>5</v>
      </c>
      <c r="H34" s="871">
        <f t="shared" si="17"/>
        <v>0</v>
      </c>
      <c r="I34" s="871">
        <f t="shared" si="17"/>
        <v>7</v>
      </c>
      <c r="J34" s="871">
        <f t="shared" si="17"/>
        <v>7</v>
      </c>
      <c r="K34" s="871">
        <f t="shared" si="17"/>
        <v>7</v>
      </c>
      <c r="L34" s="871">
        <f t="shared" si="17"/>
        <v>6</v>
      </c>
      <c r="M34" s="871">
        <f t="shared" si="17"/>
        <v>6</v>
      </c>
      <c r="N34" s="871">
        <f t="shared" si="17"/>
        <v>6</v>
      </c>
      <c r="O34" s="871">
        <f t="shared" si="17"/>
        <v>6</v>
      </c>
      <c r="P34" s="871">
        <f t="shared" si="17"/>
        <v>6</v>
      </c>
      <c r="Q34" s="871">
        <f t="shared" si="17"/>
        <v>6</v>
      </c>
      <c r="R34" s="871">
        <f t="shared" si="17"/>
        <v>6</v>
      </c>
      <c r="S34" s="871">
        <f t="shared" si="17"/>
        <v>6</v>
      </c>
      <c r="T34" s="872">
        <f t="shared" si="17"/>
        <v>7</v>
      </c>
      <c r="U34" s="871">
        <f t="shared" si="17"/>
        <v>7</v>
      </c>
      <c r="V34" s="871">
        <f t="shared" si="17"/>
        <v>6</v>
      </c>
      <c r="W34" s="871">
        <f t="shared" si="17"/>
        <v>0</v>
      </c>
      <c r="X34" s="871">
        <f t="shared" si="17"/>
        <v>0</v>
      </c>
      <c r="Y34" s="871">
        <f t="shared" si="17"/>
        <v>0</v>
      </c>
      <c r="Z34" s="871">
        <f t="shared" si="17"/>
        <v>0</v>
      </c>
      <c r="AA34" s="871">
        <f t="shared" si="17"/>
        <v>0</v>
      </c>
    </row>
    <row r="35">
      <c r="A35" s="480" t="s">
        <v>1547</v>
      </c>
      <c r="B35" s="871">
        <v>2.0</v>
      </c>
      <c r="C35" s="871">
        <v>4.0</v>
      </c>
      <c r="D35" s="871">
        <v>3.0</v>
      </c>
      <c r="E35" s="871">
        <v>3.0</v>
      </c>
      <c r="F35" s="871">
        <v>3.0</v>
      </c>
      <c r="G35" s="871">
        <v>3.0</v>
      </c>
      <c r="H35" s="871">
        <v>3.0</v>
      </c>
      <c r="I35" s="871">
        <v>4.0</v>
      </c>
      <c r="J35" s="871">
        <v>4.0</v>
      </c>
      <c r="K35" s="871">
        <v>4.0</v>
      </c>
      <c r="L35" s="871">
        <v>4.0</v>
      </c>
      <c r="M35" s="871">
        <v>3.0</v>
      </c>
      <c r="N35" s="871">
        <v>4.0</v>
      </c>
      <c r="O35" s="871">
        <v>5.0</v>
      </c>
      <c r="P35" s="871">
        <v>5.0</v>
      </c>
      <c r="Q35" s="871">
        <v>3.0</v>
      </c>
      <c r="R35" s="871">
        <v>4.0</v>
      </c>
      <c r="S35" s="871">
        <v>4.0</v>
      </c>
      <c r="T35" s="872">
        <v>4.0</v>
      </c>
      <c r="U35" s="871">
        <v>4.0</v>
      </c>
      <c r="V35" s="871">
        <v>3.0</v>
      </c>
      <c r="W35" s="873"/>
      <c r="X35" s="873"/>
      <c r="Y35" s="873"/>
      <c r="Z35" s="873"/>
      <c r="AA35" s="873"/>
    </row>
    <row r="36">
      <c r="A36" s="480" t="s">
        <v>1548</v>
      </c>
      <c r="B36" s="867">
        <f t="shared" ref="B36:AA36" si="18">IF(ISNUMBER(B34), IF(B35&gt;=ROUNDDOWN(B34/2), 1, 0), 0)</f>
        <v>1</v>
      </c>
      <c r="C36" s="867">
        <f t="shared" si="18"/>
        <v>1</v>
      </c>
      <c r="D36" s="867">
        <f t="shared" si="18"/>
        <v>1</v>
      </c>
      <c r="E36" s="867">
        <f t="shared" si="18"/>
        <v>1</v>
      </c>
      <c r="F36" s="867">
        <f t="shared" si="18"/>
        <v>1</v>
      </c>
      <c r="G36" s="867">
        <f t="shared" si="18"/>
        <v>1</v>
      </c>
      <c r="H36" s="867">
        <f t="shared" si="18"/>
        <v>1</v>
      </c>
      <c r="I36" s="867">
        <f t="shared" si="18"/>
        <v>1</v>
      </c>
      <c r="J36" s="867">
        <f t="shared" si="18"/>
        <v>1</v>
      </c>
      <c r="K36" s="867">
        <f t="shared" si="18"/>
        <v>1</v>
      </c>
      <c r="L36" s="867">
        <f t="shared" si="18"/>
        <v>1</v>
      </c>
      <c r="M36" s="867">
        <f t="shared" si="18"/>
        <v>1</v>
      </c>
      <c r="N36" s="867">
        <f t="shared" si="18"/>
        <v>1</v>
      </c>
      <c r="O36" s="867">
        <f t="shared" si="18"/>
        <v>1</v>
      </c>
      <c r="P36" s="867">
        <f t="shared" si="18"/>
        <v>1</v>
      </c>
      <c r="Q36" s="867">
        <f t="shared" si="18"/>
        <v>1</v>
      </c>
      <c r="R36" s="867">
        <f t="shared" si="18"/>
        <v>1</v>
      </c>
      <c r="S36" s="867">
        <f t="shared" si="18"/>
        <v>1</v>
      </c>
      <c r="T36" s="874">
        <f t="shared" si="18"/>
        <v>1</v>
      </c>
      <c r="U36" s="867">
        <f t="shared" si="18"/>
        <v>1</v>
      </c>
      <c r="V36" s="867">
        <f t="shared" si="18"/>
        <v>1</v>
      </c>
      <c r="W36" s="867">
        <f t="shared" si="18"/>
        <v>1</v>
      </c>
      <c r="X36" s="867">
        <f t="shared" si="18"/>
        <v>1</v>
      </c>
      <c r="Y36" s="867">
        <f t="shared" si="18"/>
        <v>1</v>
      </c>
      <c r="Z36" s="867">
        <f t="shared" si="18"/>
        <v>1</v>
      </c>
      <c r="AA36" s="867">
        <f t="shared" si="18"/>
        <v>1</v>
      </c>
    </row>
    <row r="37">
      <c r="A37" s="750" t="s">
        <v>44</v>
      </c>
      <c r="B37" s="875">
        <f t="shared" ref="B37:AA37" si="19">(B25*0.7) + (IF(B33 &gt;= 30%, 1, 0)*0.15) + (B36*0.15)</f>
        <v>1</v>
      </c>
      <c r="C37" s="875">
        <f t="shared" si="19"/>
        <v>1</v>
      </c>
      <c r="D37" s="875">
        <f t="shared" si="19"/>
        <v>1</v>
      </c>
      <c r="E37" s="875">
        <f t="shared" si="19"/>
        <v>1</v>
      </c>
      <c r="F37" s="875">
        <f t="shared" si="19"/>
        <v>1</v>
      </c>
      <c r="G37" s="875">
        <f t="shared" si="19"/>
        <v>1</v>
      </c>
      <c r="H37" s="875">
        <f t="shared" si="19"/>
        <v>1</v>
      </c>
      <c r="I37" s="875">
        <f t="shared" si="19"/>
        <v>0.3</v>
      </c>
      <c r="J37" s="875">
        <f t="shared" si="19"/>
        <v>1</v>
      </c>
      <c r="K37" s="875">
        <f t="shared" si="19"/>
        <v>1</v>
      </c>
      <c r="L37" s="875">
        <f t="shared" si="19"/>
        <v>1</v>
      </c>
      <c r="M37" s="875">
        <f t="shared" si="19"/>
        <v>1</v>
      </c>
      <c r="N37" s="875">
        <f t="shared" si="19"/>
        <v>1</v>
      </c>
      <c r="O37" s="875">
        <f t="shared" si="19"/>
        <v>1</v>
      </c>
      <c r="P37" s="875">
        <f t="shared" si="19"/>
        <v>1</v>
      </c>
      <c r="Q37" s="875">
        <f t="shared" si="19"/>
        <v>1</v>
      </c>
      <c r="R37" s="875">
        <f t="shared" si="19"/>
        <v>1</v>
      </c>
      <c r="S37" s="875">
        <f t="shared" si="19"/>
        <v>1</v>
      </c>
      <c r="T37" s="876">
        <f t="shared" si="19"/>
        <v>1</v>
      </c>
      <c r="U37" s="875">
        <f t="shared" si="19"/>
        <v>1</v>
      </c>
      <c r="V37" s="875">
        <f t="shared" si="19"/>
        <v>0.3</v>
      </c>
      <c r="W37" s="875">
        <f t="shared" si="19"/>
        <v>0.15</v>
      </c>
      <c r="X37" s="875">
        <f t="shared" si="19"/>
        <v>0.15</v>
      </c>
      <c r="Y37" s="875">
        <f t="shared" si="19"/>
        <v>0.15</v>
      </c>
      <c r="Z37" s="875">
        <f t="shared" si="19"/>
        <v>0.15</v>
      </c>
      <c r="AA37" s="875">
        <f t="shared" si="19"/>
        <v>0.15</v>
      </c>
    </row>
    <row r="38">
      <c r="A38" s="193" t="s">
        <v>142</v>
      </c>
      <c r="B38" s="194"/>
      <c r="C38" s="877"/>
      <c r="O38" s="875">
        <v>1.0</v>
      </c>
      <c r="P38" s="875">
        <v>1.0</v>
      </c>
      <c r="Q38" s="875">
        <v>1.0</v>
      </c>
      <c r="R38" s="875">
        <v>1.0</v>
      </c>
      <c r="S38" s="875">
        <v>1.0</v>
      </c>
      <c r="T38" s="876">
        <v>1.0</v>
      </c>
      <c r="U38" s="875">
        <v>1.0</v>
      </c>
      <c r="V38" s="875"/>
      <c r="W38" s="875"/>
      <c r="X38" s="875"/>
      <c r="Y38" s="875"/>
      <c r="Z38" s="875"/>
      <c r="AA38" s="875"/>
    </row>
    <row r="39">
      <c r="A39" s="126" t="s">
        <v>45</v>
      </c>
      <c r="B39" s="127"/>
      <c r="C39" s="128"/>
      <c r="D39" s="128"/>
      <c r="E39" s="128"/>
      <c r="F39" s="128"/>
      <c r="G39" s="128"/>
      <c r="H39" s="128"/>
      <c r="I39" s="128"/>
      <c r="J39" s="128"/>
      <c r="K39" s="128"/>
      <c r="L39" s="128"/>
      <c r="M39" s="128"/>
      <c r="N39" s="128"/>
      <c r="O39" s="128"/>
      <c r="P39" s="128"/>
      <c r="Q39" s="128"/>
      <c r="R39" s="128"/>
      <c r="S39" s="128"/>
      <c r="T39" s="878"/>
      <c r="U39" s="128"/>
      <c r="V39" s="128"/>
      <c r="W39" s="128"/>
      <c r="X39" s="128"/>
      <c r="Y39" s="128"/>
      <c r="Z39" s="128"/>
      <c r="AA39" s="128"/>
    </row>
    <row r="40">
      <c r="A40" s="198" t="s">
        <v>1549</v>
      </c>
      <c r="B40" s="879" t="s">
        <v>59</v>
      </c>
      <c r="C40" s="880" t="s">
        <v>59</v>
      </c>
      <c r="D40" s="880">
        <v>0.0</v>
      </c>
      <c r="E40" s="880">
        <v>18.0</v>
      </c>
      <c r="F40" s="880">
        <v>33.0</v>
      </c>
      <c r="G40" s="880">
        <v>34.0</v>
      </c>
      <c r="H40" s="881"/>
      <c r="I40" s="880">
        <v>31.0</v>
      </c>
      <c r="J40" s="880">
        <v>34.0</v>
      </c>
      <c r="K40" s="880">
        <v>34.0</v>
      </c>
      <c r="L40" s="880">
        <v>39.0</v>
      </c>
      <c r="M40" s="880">
        <v>26.0</v>
      </c>
      <c r="N40" s="880">
        <v>37.0</v>
      </c>
      <c r="O40" s="881">
        <f>21+13+10</f>
        <v>44</v>
      </c>
      <c r="P40" s="880">
        <v>50.0</v>
      </c>
      <c r="Q40" s="880">
        <v>26.0</v>
      </c>
      <c r="R40" s="880">
        <v>32.0</v>
      </c>
      <c r="S40" s="880">
        <v>35.0</v>
      </c>
      <c r="T40" s="880">
        <v>50.0</v>
      </c>
      <c r="U40" s="882">
        <v>47.0</v>
      </c>
      <c r="V40" s="880">
        <v>43.0</v>
      </c>
      <c r="W40" s="880"/>
      <c r="X40" s="880"/>
      <c r="Y40" s="880"/>
      <c r="Z40" s="880"/>
      <c r="AA40" s="880"/>
    </row>
    <row r="41">
      <c r="A41" s="198" t="s">
        <v>1550</v>
      </c>
      <c r="B41" s="879">
        <v>42.0</v>
      </c>
      <c r="C41" s="880">
        <v>42.0</v>
      </c>
      <c r="D41" s="880">
        <v>50.0</v>
      </c>
      <c r="E41" s="880">
        <v>39.0</v>
      </c>
      <c r="F41" s="880">
        <v>36.0</v>
      </c>
      <c r="G41" s="880">
        <v>42.0</v>
      </c>
      <c r="H41" s="881"/>
      <c r="I41" s="880">
        <v>47.0</v>
      </c>
      <c r="J41" s="880">
        <v>34.0</v>
      </c>
      <c r="K41" s="880">
        <v>34.0</v>
      </c>
      <c r="L41" s="880">
        <v>47.0</v>
      </c>
      <c r="M41" s="880">
        <v>29.0</v>
      </c>
      <c r="N41" s="880">
        <v>42.0</v>
      </c>
      <c r="O41" s="881">
        <f>13+21</f>
        <v>34</v>
      </c>
      <c r="P41" s="881">
        <f>21+8</f>
        <v>29</v>
      </c>
      <c r="Q41" s="880">
        <v>34.0</v>
      </c>
      <c r="R41" s="881">
        <f>34+8</f>
        <v>42</v>
      </c>
      <c r="S41" s="880">
        <v>40.0</v>
      </c>
      <c r="T41" s="880">
        <v>35.0</v>
      </c>
      <c r="U41" s="882">
        <v>26.0</v>
      </c>
      <c r="V41" s="880">
        <v>42.0</v>
      </c>
      <c r="W41" s="881"/>
      <c r="X41" s="881"/>
      <c r="Y41" s="881"/>
      <c r="Z41" s="881"/>
      <c r="AA41" s="881"/>
    </row>
    <row r="42">
      <c r="A42" s="198" t="s">
        <v>1551</v>
      </c>
      <c r="B42" s="879">
        <v>25.0</v>
      </c>
      <c r="C42" s="880">
        <v>34.0</v>
      </c>
      <c r="D42" s="880">
        <v>37.0</v>
      </c>
      <c r="E42" s="880">
        <v>34.0</v>
      </c>
      <c r="F42" s="880">
        <v>36.0</v>
      </c>
      <c r="G42" s="880">
        <v>34.0</v>
      </c>
      <c r="H42" s="881"/>
      <c r="I42" s="880">
        <v>34.0</v>
      </c>
      <c r="J42" s="880">
        <v>28.0</v>
      </c>
      <c r="K42" s="880">
        <v>32.0</v>
      </c>
      <c r="L42" s="880">
        <v>36.0</v>
      </c>
      <c r="M42" s="880">
        <v>27.0</v>
      </c>
      <c r="N42" s="880">
        <v>39.0</v>
      </c>
      <c r="O42" s="881">
        <f>24+8</f>
        <v>32</v>
      </c>
      <c r="P42" s="880">
        <v>37.0</v>
      </c>
      <c r="Q42" s="880">
        <v>0.0</v>
      </c>
      <c r="R42" s="880">
        <v>34.0</v>
      </c>
      <c r="S42" s="880">
        <v>36.0</v>
      </c>
      <c r="T42" s="880">
        <v>34.0</v>
      </c>
      <c r="U42" s="882">
        <v>44.0</v>
      </c>
      <c r="V42" s="880">
        <v>42.0</v>
      </c>
      <c r="W42" s="880"/>
      <c r="X42" s="880"/>
      <c r="Y42" s="880"/>
      <c r="Z42" s="880"/>
      <c r="AA42" s="880"/>
    </row>
    <row r="43">
      <c r="A43" s="198" t="s">
        <v>1552</v>
      </c>
      <c r="B43" s="879">
        <v>6.0</v>
      </c>
      <c r="C43" s="880">
        <v>8.0</v>
      </c>
      <c r="D43" s="880">
        <v>1.0</v>
      </c>
      <c r="E43" s="880">
        <v>0.0</v>
      </c>
      <c r="F43" s="880">
        <v>7.0</v>
      </c>
      <c r="G43" s="880">
        <v>0.0</v>
      </c>
      <c r="H43" s="881"/>
      <c r="I43" s="880">
        <v>26.0</v>
      </c>
      <c r="J43" s="880">
        <v>10.0</v>
      </c>
      <c r="K43" s="880">
        <v>34.0</v>
      </c>
      <c r="L43" s="880">
        <v>2.0</v>
      </c>
      <c r="M43" s="880">
        <v>5.0</v>
      </c>
      <c r="N43" s="880">
        <v>0.0</v>
      </c>
      <c r="O43" s="880">
        <v>0.0</v>
      </c>
      <c r="P43" s="880">
        <v>0.0</v>
      </c>
      <c r="Q43" s="880">
        <v>8.0</v>
      </c>
      <c r="R43" s="880">
        <v>0.0</v>
      </c>
      <c r="S43" s="880">
        <v>0.0</v>
      </c>
      <c r="T43" s="880">
        <v>27.0</v>
      </c>
      <c r="U43" s="882">
        <v>19.0</v>
      </c>
      <c r="V43" s="880">
        <v>0.0</v>
      </c>
      <c r="W43" s="880"/>
      <c r="X43" s="880"/>
      <c r="Y43" s="880"/>
      <c r="Z43" s="880"/>
      <c r="AA43" s="880"/>
    </row>
    <row r="44">
      <c r="A44" s="198" t="s">
        <v>1553</v>
      </c>
      <c r="B44" s="879" t="s">
        <v>59</v>
      </c>
      <c r="C44" s="879" t="s">
        <v>59</v>
      </c>
      <c r="D44" s="879" t="s">
        <v>59</v>
      </c>
      <c r="E44" s="879" t="s">
        <v>59</v>
      </c>
      <c r="F44" s="880">
        <v>0.0</v>
      </c>
      <c r="G44" s="880">
        <v>0.0</v>
      </c>
      <c r="H44" s="881"/>
      <c r="I44" s="880">
        <v>34.0</v>
      </c>
      <c r="J44" s="880">
        <v>34.0</v>
      </c>
      <c r="K44" s="880">
        <v>42.0</v>
      </c>
      <c r="L44" s="880">
        <v>39.0</v>
      </c>
      <c r="M44" s="880">
        <v>34.0</v>
      </c>
      <c r="N44" s="880">
        <v>35.0</v>
      </c>
      <c r="O44" s="880">
        <v>42.0</v>
      </c>
      <c r="P44" s="880">
        <v>42.0</v>
      </c>
      <c r="Q44" s="880">
        <v>34.0</v>
      </c>
      <c r="R44" s="880">
        <v>34.0</v>
      </c>
      <c r="S44" s="880">
        <v>29.0</v>
      </c>
      <c r="T44" s="880">
        <v>20.0</v>
      </c>
      <c r="U44" s="882">
        <v>42.0</v>
      </c>
      <c r="V44" s="880">
        <v>55.0</v>
      </c>
      <c r="W44" s="880"/>
      <c r="X44" s="880"/>
      <c r="Y44" s="880"/>
      <c r="Z44" s="880"/>
      <c r="AA44" s="880"/>
    </row>
    <row r="45">
      <c r="A45" s="198" t="s">
        <v>1554</v>
      </c>
      <c r="B45" s="879">
        <v>27.0</v>
      </c>
      <c r="C45" s="880">
        <v>34.0</v>
      </c>
      <c r="D45" s="880">
        <v>34.0</v>
      </c>
      <c r="E45" s="880">
        <v>34.0</v>
      </c>
      <c r="F45" s="880">
        <v>39.0</v>
      </c>
      <c r="G45" s="880">
        <v>34.0</v>
      </c>
      <c r="H45" s="881"/>
      <c r="I45" s="880">
        <v>34.0</v>
      </c>
      <c r="J45" s="880">
        <v>40.0</v>
      </c>
      <c r="K45" s="880">
        <v>49.0</v>
      </c>
      <c r="L45" s="880">
        <v>44.0</v>
      </c>
      <c r="M45" s="880">
        <v>34.0</v>
      </c>
      <c r="N45" s="880">
        <v>34.0</v>
      </c>
      <c r="O45" s="881">
        <f>24+26</f>
        <v>50</v>
      </c>
      <c r="P45" s="880">
        <v>50.0</v>
      </c>
      <c r="Q45" s="880">
        <v>26.0</v>
      </c>
      <c r="R45" s="880">
        <v>26.0</v>
      </c>
      <c r="S45" s="880">
        <v>42.0</v>
      </c>
      <c r="T45" s="880">
        <v>40.0</v>
      </c>
      <c r="U45" s="882">
        <v>43.0</v>
      </c>
      <c r="V45" s="880">
        <v>50.0</v>
      </c>
      <c r="W45" s="880"/>
      <c r="X45" s="880"/>
      <c r="Y45" s="880"/>
      <c r="Z45" s="880"/>
      <c r="AA45" s="880"/>
    </row>
    <row r="46">
      <c r="A46" s="198" t="s">
        <v>1555</v>
      </c>
      <c r="B46" s="879">
        <v>26.0</v>
      </c>
      <c r="C46" s="880">
        <v>34.0</v>
      </c>
      <c r="D46" s="880">
        <v>34.0</v>
      </c>
      <c r="E46" s="880">
        <v>42.0</v>
      </c>
      <c r="F46" s="880">
        <v>39.0</v>
      </c>
      <c r="G46" s="880">
        <v>34.0</v>
      </c>
      <c r="H46" s="881"/>
      <c r="I46" s="880">
        <v>34.0</v>
      </c>
      <c r="J46" s="880">
        <v>34.0</v>
      </c>
      <c r="K46" s="880">
        <v>34.0</v>
      </c>
      <c r="L46" s="880">
        <v>34.0</v>
      </c>
      <c r="M46" s="880">
        <v>34.0</v>
      </c>
      <c r="N46" s="880">
        <v>47.0</v>
      </c>
      <c r="O46" s="881">
        <f>18+13</f>
        <v>31</v>
      </c>
      <c r="P46" s="880">
        <v>34.0</v>
      </c>
      <c r="Q46" s="880">
        <v>37.0</v>
      </c>
      <c r="R46" s="880">
        <v>39.0</v>
      </c>
      <c r="S46" s="880">
        <v>36.0</v>
      </c>
      <c r="T46" s="880">
        <v>36.0</v>
      </c>
      <c r="U46" s="882">
        <v>39.0</v>
      </c>
      <c r="V46" s="880">
        <v>42.0</v>
      </c>
      <c r="W46" s="880"/>
      <c r="X46" s="880"/>
      <c r="Y46" s="880"/>
      <c r="Z46" s="880"/>
      <c r="AA46" s="880"/>
    </row>
    <row r="47">
      <c r="A47" s="484" t="s">
        <v>1556</v>
      </c>
      <c r="B47" s="879"/>
      <c r="C47" s="881"/>
      <c r="D47" s="881"/>
      <c r="E47" s="881"/>
      <c r="F47" s="881"/>
      <c r="G47" s="881"/>
      <c r="H47" s="881"/>
      <c r="I47" s="881"/>
      <c r="J47" s="881"/>
      <c r="K47" s="881"/>
      <c r="L47" s="881"/>
      <c r="M47" s="881"/>
      <c r="N47" s="881"/>
      <c r="O47" s="881"/>
      <c r="P47" s="881"/>
      <c r="Q47" s="880"/>
      <c r="R47" s="880"/>
      <c r="S47" s="880"/>
      <c r="T47" s="880"/>
      <c r="U47" s="882"/>
      <c r="V47" s="880"/>
      <c r="W47" s="880"/>
      <c r="X47" s="880"/>
      <c r="Y47" s="880"/>
      <c r="Z47" s="880"/>
      <c r="AA47" s="880"/>
    </row>
    <row r="48">
      <c r="A48" s="484" t="s">
        <v>1557</v>
      </c>
      <c r="B48" s="879"/>
      <c r="C48" s="881"/>
      <c r="D48" s="881"/>
      <c r="E48" s="881"/>
      <c r="F48" s="881"/>
      <c r="G48" s="881"/>
      <c r="H48" s="881"/>
      <c r="I48" s="881"/>
      <c r="J48" s="881"/>
      <c r="K48" s="881"/>
      <c r="L48" s="881"/>
      <c r="M48" s="881"/>
      <c r="N48" s="881"/>
      <c r="O48" s="881"/>
      <c r="P48" s="881"/>
      <c r="Q48" s="880"/>
      <c r="R48" s="880"/>
      <c r="S48" s="880"/>
      <c r="T48" s="880"/>
      <c r="U48" s="882"/>
      <c r="V48" s="880"/>
      <c r="W48" s="880"/>
      <c r="X48" s="880"/>
      <c r="Y48" s="880"/>
      <c r="Z48" s="880"/>
      <c r="AA48" s="880"/>
    </row>
    <row r="49">
      <c r="A49" s="484"/>
      <c r="B49" s="879"/>
      <c r="C49" s="881"/>
      <c r="D49" s="881"/>
      <c r="E49" s="881"/>
      <c r="F49" s="881"/>
      <c r="G49" s="881"/>
      <c r="H49" s="881"/>
      <c r="I49" s="881"/>
      <c r="J49" s="881"/>
      <c r="K49" s="881"/>
      <c r="L49" s="881"/>
      <c r="M49" s="881"/>
      <c r="N49" s="881"/>
      <c r="O49" s="881"/>
      <c r="P49" s="881"/>
      <c r="Q49" s="880"/>
      <c r="R49" s="880"/>
      <c r="S49" s="880"/>
      <c r="T49" s="880"/>
      <c r="U49" s="882"/>
      <c r="V49" s="880"/>
      <c r="W49" s="880"/>
      <c r="X49" s="880"/>
      <c r="Y49" s="880"/>
      <c r="Z49" s="880"/>
      <c r="AA49" s="880"/>
    </row>
    <row r="50">
      <c r="A50" s="126" t="s">
        <v>46</v>
      </c>
      <c r="B50" s="883"/>
      <c r="C50" s="884"/>
      <c r="D50" s="884"/>
      <c r="E50" s="884"/>
      <c r="F50" s="884"/>
      <c r="G50" s="884"/>
      <c r="H50" s="884"/>
      <c r="I50" s="884"/>
      <c r="J50" s="884"/>
      <c r="K50" s="884"/>
      <c r="L50" s="884"/>
      <c r="M50" s="884"/>
      <c r="N50" s="884"/>
      <c r="O50" s="884"/>
      <c r="P50" s="884"/>
      <c r="Q50" s="884"/>
      <c r="R50" s="884"/>
      <c r="S50" s="884"/>
      <c r="T50" s="884"/>
      <c r="U50" s="885"/>
      <c r="V50" s="884"/>
      <c r="W50" s="884"/>
      <c r="X50" s="884"/>
      <c r="Y50" s="884"/>
      <c r="Z50" s="884"/>
      <c r="AA50" s="884"/>
    </row>
    <row r="51">
      <c r="A51" s="198" t="s">
        <v>1549</v>
      </c>
      <c r="B51" s="879" t="s">
        <v>59</v>
      </c>
      <c r="C51" s="880"/>
      <c r="D51" s="880">
        <v>0.0</v>
      </c>
      <c r="E51" s="880">
        <v>18.0</v>
      </c>
      <c r="F51" s="880">
        <v>33.0</v>
      </c>
      <c r="G51" s="880">
        <v>34.0</v>
      </c>
      <c r="H51" s="880"/>
      <c r="I51" s="880">
        <v>31.0</v>
      </c>
      <c r="J51" s="880">
        <v>34.0</v>
      </c>
      <c r="K51" s="880">
        <v>34.0</v>
      </c>
      <c r="L51" s="880">
        <v>39.0</v>
      </c>
      <c r="M51" s="880">
        <v>26.0</v>
      </c>
      <c r="N51" s="880">
        <f>37-8</f>
        <v>29</v>
      </c>
      <c r="O51" s="880">
        <v>44.0</v>
      </c>
      <c r="P51" s="880">
        <v>50.0</v>
      </c>
      <c r="Q51" s="880">
        <v>26.0</v>
      </c>
      <c r="R51" s="880">
        <f>21+1+1+8+1</f>
        <v>32</v>
      </c>
      <c r="S51" s="880">
        <f>35-13</f>
        <v>22</v>
      </c>
      <c r="T51" s="880">
        <v>45.0</v>
      </c>
      <c r="U51" s="882">
        <v>47.0</v>
      </c>
      <c r="V51" s="880"/>
      <c r="W51" s="880"/>
      <c r="X51" s="880"/>
      <c r="Y51" s="880"/>
      <c r="Z51" s="880"/>
      <c r="AA51" s="880"/>
    </row>
    <row r="52">
      <c r="A52" s="198" t="s">
        <v>1550</v>
      </c>
      <c r="B52" s="879">
        <v>21.0</v>
      </c>
      <c r="C52" s="880">
        <v>42.0</v>
      </c>
      <c r="D52" s="880">
        <v>32.0</v>
      </c>
      <c r="E52" s="880">
        <v>18.0</v>
      </c>
      <c r="F52" s="880">
        <v>36.0</v>
      </c>
      <c r="G52" s="880">
        <v>45.0</v>
      </c>
      <c r="H52" s="880"/>
      <c r="I52" s="880">
        <v>47.0</v>
      </c>
      <c r="J52" s="880">
        <v>34.0</v>
      </c>
      <c r="K52" s="880">
        <v>34.0</v>
      </c>
      <c r="L52" s="880">
        <v>47.0</v>
      </c>
      <c r="M52" s="880">
        <v>29.0</v>
      </c>
      <c r="N52" s="880">
        <v>21.0</v>
      </c>
      <c r="O52" s="881">
        <f>34-21</f>
        <v>13</v>
      </c>
      <c r="P52" s="880">
        <v>29.0</v>
      </c>
      <c r="Q52" s="880">
        <v>34.0</v>
      </c>
      <c r="R52" s="881">
        <f>34+13</f>
        <v>47</v>
      </c>
      <c r="S52" s="880">
        <v>39.0</v>
      </c>
      <c r="T52" s="881">
        <f>35+8</f>
        <v>43</v>
      </c>
      <c r="U52" s="882">
        <v>26.0</v>
      </c>
      <c r="V52" s="881"/>
      <c r="W52" s="881"/>
      <c r="X52" s="881"/>
      <c r="Y52" s="881"/>
      <c r="Z52" s="881"/>
      <c r="AA52" s="881"/>
    </row>
    <row r="53">
      <c r="A53" s="198" t="s">
        <v>1551</v>
      </c>
      <c r="B53" s="886">
        <v>25.0</v>
      </c>
      <c r="C53" s="880">
        <v>34.0</v>
      </c>
      <c r="D53" s="880">
        <v>34.0</v>
      </c>
      <c r="E53" s="880">
        <v>34.0</v>
      </c>
      <c r="F53" s="880">
        <v>36.0</v>
      </c>
      <c r="G53" s="880">
        <v>34.0</v>
      </c>
      <c r="H53" s="880"/>
      <c r="I53" s="880">
        <v>34.0</v>
      </c>
      <c r="J53" s="880">
        <v>28.0</v>
      </c>
      <c r="K53" s="880">
        <v>32.0</v>
      </c>
      <c r="L53" s="880">
        <v>36.0</v>
      </c>
      <c r="M53" s="880">
        <v>27.0</v>
      </c>
      <c r="N53" s="880">
        <v>39.0</v>
      </c>
      <c r="O53" s="880">
        <v>29.0</v>
      </c>
      <c r="P53" s="880">
        <v>37.0</v>
      </c>
      <c r="Q53" s="880">
        <v>0.0</v>
      </c>
      <c r="R53" s="881">
        <f>8+13+13</f>
        <v>34</v>
      </c>
      <c r="S53" s="880">
        <v>36.0</v>
      </c>
      <c r="T53" s="880">
        <v>34.0</v>
      </c>
      <c r="U53" s="882">
        <v>44.0</v>
      </c>
      <c r="V53" s="881"/>
      <c r="W53" s="881"/>
      <c r="X53" s="881"/>
      <c r="Y53" s="881"/>
      <c r="Z53" s="881"/>
      <c r="AA53" s="881"/>
    </row>
    <row r="54">
      <c r="A54" s="198" t="s">
        <v>1552</v>
      </c>
      <c r="B54" s="886">
        <v>10.0</v>
      </c>
      <c r="C54" s="880">
        <v>8.0</v>
      </c>
      <c r="D54" s="880">
        <v>1.0</v>
      </c>
      <c r="E54" s="880">
        <v>14.0</v>
      </c>
      <c r="F54" s="880">
        <v>7.0</v>
      </c>
      <c r="G54" s="880">
        <v>0.0</v>
      </c>
      <c r="H54" s="880"/>
      <c r="I54" s="880">
        <v>29.0</v>
      </c>
      <c r="J54" s="880">
        <v>10.0</v>
      </c>
      <c r="K54" s="880">
        <v>35.0</v>
      </c>
      <c r="L54" s="880">
        <v>4.0</v>
      </c>
      <c r="M54" s="880">
        <v>5.0</v>
      </c>
      <c r="N54" s="880">
        <v>0.0</v>
      </c>
      <c r="O54" s="880">
        <v>0.0</v>
      </c>
      <c r="P54" s="880">
        <v>5.0</v>
      </c>
      <c r="Q54" s="880">
        <v>18.0</v>
      </c>
      <c r="R54" s="880">
        <v>0.0</v>
      </c>
      <c r="S54" s="880">
        <v>0.0</v>
      </c>
      <c r="T54" s="880">
        <f>27-13</f>
        <v>14</v>
      </c>
      <c r="U54" s="882">
        <v>19.0</v>
      </c>
      <c r="V54" s="880"/>
      <c r="W54" s="880"/>
      <c r="X54" s="880"/>
      <c r="Y54" s="880"/>
      <c r="Z54" s="880"/>
      <c r="AA54" s="880"/>
    </row>
    <row r="55">
      <c r="A55" s="198" t="s">
        <v>1553</v>
      </c>
      <c r="B55" s="879" t="s">
        <v>59</v>
      </c>
      <c r="C55" s="879" t="s">
        <v>59</v>
      </c>
      <c r="D55" s="879" t="s">
        <v>59</v>
      </c>
      <c r="E55" s="879" t="s">
        <v>59</v>
      </c>
      <c r="F55" s="880">
        <v>0.0</v>
      </c>
      <c r="G55" s="880">
        <v>0.0</v>
      </c>
      <c r="H55" s="880"/>
      <c r="I55" s="880">
        <v>34.0</v>
      </c>
      <c r="J55" s="880">
        <v>34.0</v>
      </c>
      <c r="K55" s="880">
        <v>42.0</v>
      </c>
      <c r="L55" s="880">
        <v>39.0</v>
      </c>
      <c r="M55" s="880">
        <v>34.0</v>
      </c>
      <c r="N55" s="880">
        <v>35.0</v>
      </c>
      <c r="O55" s="880">
        <v>42.0</v>
      </c>
      <c r="P55" s="880">
        <v>42.0</v>
      </c>
      <c r="Q55" s="880">
        <v>34.0</v>
      </c>
      <c r="R55" s="880">
        <v>34.0</v>
      </c>
      <c r="S55" s="880">
        <v>29.0</v>
      </c>
      <c r="T55" s="880">
        <f>20-8</f>
        <v>12</v>
      </c>
      <c r="U55" s="882">
        <v>42.0</v>
      </c>
      <c r="V55" s="880"/>
      <c r="W55" s="880"/>
      <c r="X55" s="880"/>
      <c r="Y55" s="880"/>
      <c r="Z55" s="880"/>
      <c r="AA55" s="880"/>
    </row>
    <row r="56">
      <c r="A56" s="198" t="s">
        <v>1554</v>
      </c>
      <c r="B56" s="886">
        <v>24.0</v>
      </c>
      <c r="C56" s="880">
        <v>21.0</v>
      </c>
      <c r="D56" s="880">
        <v>34.0</v>
      </c>
      <c r="E56" s="880">
        <v>34.0</v>
      </c>
      <c r="F56" s="880">
        <v>39.0</v>
      </c>
      <c r="G56" s="880">
        <v>34.0</v>
      </c>
      <c r="H56" s="880"/>
      <c r="I56" s="880">
        <v>13.0</v>
      </c>
      <c r="J56" s="880">
        <f>40-13</f>
        <v>27</v>
      </c>
      <c r="K56" s="880">
        <v>28.0</v>
      </c>
      <c r="L56" s="880">
        <v>46.0</v>
      </c>
      <c r="M56" s="880">
        <v>34.0</v>
      </c>
      <c r="N56" s="880">
        <v>34.0</v>
      </c>
      <c r="O56" s="880">
        <v>50.0</v>
      </c>
      <c r="P56" s="880">
        <v>50.0</v>
      </c>
      <c r="Q56" s="880">
        <v>26.0</v>
      </c>
      <c r="R56" s="880">
        <f>21+5</f>
        <v>26</v>
      </c>
      <c r="S56" s="880">
        <v>42.0</v>
      </c>
      <c r="T56" s="880">
        <v>40.0</v>
      </c>
      <c r="U56" s="882">
        <v>1.0</v>
      </c>
      <c r="V56" s="880"/>
      <c r="W56" s="880"/>
      <c r="X56" s="880"/>
      <c r="Y56" s="880"/>
      <c r="Z56" s="880"/>
      <c r="AA56" s="880"/>
    </row>
    <row r="57">
      <c r="A57" s="198" t="s">
        <v>1555</v>
      </c>
      <c r="B57" s="886">
        <v>31.0</v>
      </c>
      <c r="C57" s="880">
        <v>34.0</v>
      </c>
      <c r="D57" s="880">
        <v>34.0</v>
      </c>
      <c r="E57" s="880">
        <v>45.0</v>
      </c>
      <c r="F57" s="880">
        <v>39.0</v>
      </c>
      <c r="G57" s="880">
        <v>34.0</v>
      </c>
      <c r="H57" s="880"/>
      <c r="I57" s="880">
        <v>34.0</v>
      </c>
      <c r="J57" s="880">
        <v>34.0</v>
      </c>
      <c r="K57" s="880">
        <v>34.0</v>
      </c>
      <c r="L57" s="880">
        <v>37.0</v>
      </c>
      <c r="M57" s="880">
        <v>34.0</v>
      </c>
      <c r="N57" s="880">
        <v>47.0</v>
      </c>
      <c r="O57" s="880">
        <f>31+13</f>
        <v>44</v>
      </c>
      <c r="P57" s="880">
        <v>34.0</v>
      </c>
      <c r="Q57" s="880">
        <v>37.0</v>
      </c>
      <c r="R57" s="880">
        <v>39.0</v>
      </c>
      <c r="S57" s="880">
        <v>36.0</v>
      </c>
      <c r="T57" s="887">
        <v>36.0</v>
      </c>
      <c r="U57" s="880">
        <v>42.0</v>
      </c>
      <c r="V57" s="880"/>
      <c r="W57" s="880"/>
      <c r="X57" s="880"/>
      <c r="Y57" s="880"/>
      <c r="Z57" s="880"/>
      <c r="AA57" s="880"/>
    </row>
    <row r="58">
      <c r="A58" s="484" t="s">
        <v>1556</v>
      </c>
      <c r="B58" s="138"/>
      <c r="U58" s="31"/>
    </row>
    <row r="59">
      <c r="A59" s="484" t="s">
        <v>1557</v>
      </c>
      <c r="B59" s="138"/>
      <c r="U59" s="31"/>
    </row>
    <row r="60">
      <c r="A60" s="126" t="s">
        <v>225</v>
      </c>
      <c r="B60" s="410"/>
      <c r="C60" s="403"/>
      <c r="D60" s="403"/>
      <c r="E60" s="403"/>
      <c r="F60" s="403"/>
      <c r="G60" s="403"/>
      <c r="H60" s="403"/>
      <c r="I60" s="403"/>
      <c r="J60" s="403"/>
      <c r="K60" s="403"/>
      <c r="L60" s="403"/>
      <c r="M60" s="403"/>
      <c r="N60" s="403"/>
      <c r="O60" s="403"/>
      <c r="P60" s="403"/>
      <c r="Q60" s="403"/>
      <c r="R60" s="403"/>
      <c r="S60" s="403"/>
      <c r="T60" s="403"/>
      <c r="U60" s="411"/>
      <c r="V60" s="403"/>
      <c r="W60" s="403"/>
      <c r="X60" s="403"/>
      <c r="Y60" s="403"/>
      <c r="Z60" s="403"/>
      <c r="AA60" s="403"/>
      <c r="AB60" s="403"/>
      <c r="AC60" s="403"/>
    </row>
    <row r="61">
      <c r="A61" s="787"/>
      <c r="B61" s="138"/>
      <c r="U61" s="31"/>
    </row>
    <row r="62">
      <c r="A62" s="412" t="s">
        <v>154</v>
      </c>
      <c r="B62" s="888">
        <f t="shared" ref="B62:C62" si="20">1</f>
        <v>1</v>
      </c>
      <c r="C62" s="888">
        <f t="shared" si="20"/>
        <v>1</v>
      </c>
      <c r="D62" s="889">
        <v>1.0</v>
      </c>
      <c r="E62" s="889">
        <v>1.0</v>
      </c>
      <c r="F62" s="889">
        <v>1.0</v>
      </c>
      <c r="G62" s="889">
        <v>1.0</v>
      </c>
      <c r="H62" s="889">
        <v>1.0</v>
      </c>
      <c r="I62" s="889">
        <v>0.0</v>
      </c>
      <c r="J62" s="889">
        <v>1.0</v>
      </c>
      <c r="K62" s="889">
        <v>1.0</v>
      </c>
      <c r="L62" s="890">
        <f t="shared" ref="L62:L63" si="22">1</f>
        <v>1</v>
      </c>
      <c r="M62" s="889">
        <v>1.0</v>
      </c>
      <c r="N62" s="891">
        <v>0.0</v>
      </c>
      <c r="O62" s="889">
        <v>1.0</v>
      </c>
      <c r="P62" s="889">
        <v>1.0</v>
      </c>
      <c r="Q62" s="889">
        <v>1.0</v>
      </c>
      <c r="R62" s="889">
        <v>1.0</v>
      </c>
      <c r="S62" s="889">
        <v>1.0</v>
      </c>
      <c r="T62" s="892">
        <v>1.0</v>
      </c>
      <c r="U62" s="893">
        <v>1.0</v>
      </c>
      <c r="V62" s="894"/>
      <c r="W62" s="894"/>
      <c r="X62" s="894"/>
      <c r="Y62" s="894"/>
      <c r="Z62" s="894"/>
      <c r="AA62" s="894"/>
    </row>
    <row r="63">
      <c r="A63" s="412" t="s">
        <v>155</v>
      </c>
      <c r="B63" s="890">
        <f t="shared" ref="B63:K63" si="21">SUM(B67:B77)/COUNT(B67:B77)</f>
        <v>1</v>
      </c>
      <c r="C63" s="890">
        <f t="shared" si="21"/>
        <v>0.1428571429</v>
      </c>
      <c r="D63" s="890">
        <f t="shared" si="21"/>
        <v>1</v>
      </c>
      <c r="E63" s="890">
        <f t="shared" si="21"/>
        <v>0.75</v>
      </c>
      <c r="F63" s="890">
        <f t="shared" si="21"/>
        <v>1</v>
      </c>
      <c r="G63" s="890">
        <f t="shared" si="21"/>
        <v>0.875</v>
      </c>
      <c r="H63" s="890">
        <f t="shared" si="21"/>
        <v>1</v>
      </c>
      <c r="I63" s="890">
        <f t="shared" si="21"/>
        <v>-0.1111111111</v>
      </c>
      <c r="J63" s="890">
        <f t="shared" si="21"/>
        <v>0.75</v>
      </c>
      <c r="K63" s="890">
        <f t="shared" si="21"/>
        <v>0.7777777778</v>
      </c>
      <c r="L63" s="890">
        <f t="shared" si="22"/>
        <v>1</v>
      </c>
      <c r="M63" s="890">
        <f>1</f>
        <v>1</v>
      </c>
      <c r="N63" s="890">
        <f t="shared" ref="N63:U63" si="23">SUM(N67:N77)/COUNT(N67:N77)</f>
        <v>0.3333333333</v>
      </c>
      <c r="O63" s="890">
        <f t="shared" si="23"/>
        <v>1</v>
      </c>
      <c r="P63" s="890">
        <f t="shared" si="23"/>
        <v>1</v>
      </c>
      <c r="Q63" s="890">
        <f t="shared" si="23"/>
        <v>1</v>
      </c>
      <c r="R63" s="890">
        <f t="shared" si="23"/>
        <v>0.375</v>
      </c>
      <c r="S63" s="890">
        <f t="shared" si="23"/>
        <v>0.875</v>
      </c>
      <c r="T63" s="895">
        <f t="shared" si="23"/>
        <v>-0.2222222222</v>
      </c>
      <c r="U63" s="895">
        <f t="shared" si="23"/>
        <v>0.6666666667</v>
      </c>
      <c r="V63" s="894"/>
      <c r="W63" s="894"/>
      <c r="X63" s="894"/>
      <c r="Y63" s="894"/>
      <c r="Z63" s="894"/>
      <c r="AA63" s="894"/>
    </row>
    <row r="64">
      <c r="A64" s="412" t="s">
        <v>157</v>
      </c>
      <c r="B64" s="888">
        <f>1</f>
        <v>1</v>
      </c>
      <c r="C64" s="889">
        <v>1.0</v>
      </c>
      <c r="D64" s="889">
        <v>1.0</v>
      </c>
      <c r="E64" s="889">
        <v>1.0</v>
      </c>
      <c r="F64" s="889">
        <v>1.0</v>
      </c>
      <c r="G64" s="889">
        <v>1.0</v>
      </c>
      <c r="H64" s="889">
        <v>1.0</v>
      </c>
      <c r="I64" s="889">
        <v>1.0</v>
      </c>
      <c r="J64" s="889">
        <v>1.0</v>
      </c>
      <c r="K64" s="890">
        <f t="shared" ref="K64:L64" si="24">1</f>
        <v>1</v>
      </c>
      <c r="L64" s="890">
        <f t="shared" si="24"/>
        <v>1</v>
      </c>
      <c r="M64" s="889">
        <v>1.0</v>
      </c>
      <c r="N64" s="889">
        <v>1.0</v>
      </c>
      <c r="O64" s="889">
        <v>1.0</v>
      </c>
      <c r="P64" s="889">
        <v>1.0</v>
      </c>
      <c r="Q64" s="889">
        <v>1.0</v>
      </c>
      <c r="R64" s="889">
        <v>1.0</v>
      </c>
      <c r="S64" s="889">
        <v>1.0</v>
      </c>
      <c r="T64" s="892">
        <v>1.0</v>
      </c>
      <c r="U64" s="893">
        <v>1.0</v>
      </c>
      <c r="V64" s="894"/>
      <c r="W64" s="894"/>
      <c r="X64" s="894"/>
      <c r="Y64" s="894"/>
      <c r="Z64" s="894"/>
      <c r="AA64" s="894"/>
    </row>
    <row r="65">
      <c r="A65" s="147"/>
      <c r="B65" s="138"/>
      <c r="U65" s="31"/>
    </row>
    <row r="66">
      <c r="A66" s="412" t="s">
        <v>1558</v>
      </c>
      <c r="B66" s="460"/>
      <c r="C66" s="896"/>
      <c r="D66" s="896"/>
      <c r="E66" s="896"/>
      <c r="F66" s="896"/>
      <c r="G66" s="896"/>
      <c r="H66" s="896"/>
      <c r="I66" s="896"/>
      <c r="J66" s="896"/>
      <c r="K66" s="896"/>
      <c r="L66" s="896"/>
      <c r="M66" s="896"/>
      <c r="N66" s="896"/>
      <c r="O66" s="896"/>
      <c r="P66" s="896"/>
      <c r="Q66" s="896"/>
      <c r="R66" s="896"/>
      <c r="S66" s="896"/>
      <c r="T66" s="896"/>
      <c r="U66" s="897"/>
      <c r="V66" s="896"/>
      <c r="W66" s="896"/>
      <c r="X66" s="896"/>
      <c r="Y66" s="896"/>
      <c r="Z66" s="896"/>
      <c r="AA66" s="896"/>
    </row>
    <row r="67">
      <c r="A67" s="898" t="s">
        <v>1549</v>
      </c>
      <c r="B67" s="899" t="s">
        <v>59</v>
      </c>
      <c r="C67" s="4">
        <v>1.0</v>
      </c>
      <c r="D67" s="4">
        <v>1.0</v>
      </c>
      <c r="E67" s="4">
        <v>1.0</v>
      </c>
      <c r="F67" s="4">
        <v>1.0</v>
      </c>
      <c r="G67" s="4">
        <v>1.0</v>
      </c>
      <c r="H67" s="4">
        <v>1.0</v>
      </c>
      <c r="I67" s="4">
        <v>1.0</v>
      </c>
      <c r="J67" s="4">
        <v>1.0</v>
      </c>
      <c r="K67" s="4">
        <v>1.0</v>
      </c>
      <c r="L67" s="4">
        <v>1.0</v>
      </c>
      <c r="M67" s="4">
        <v>1.0</v>
      </c>
      <c r="N67" s="900">
        <v>0.0</v>
      </c>
      <c r="O67" s="4">
        <v>1.0</v>
      </c>
      <c r="P67" s="4">
        <v>1.0</v>
      </c>
      <c r="Q67" s="4">
        <v>1.0</v>
      </c>
      <c r="R67" s="4">
        <v>1.0</v>
      </c>
      <c r="S67" s="4">
        <v>1.0</v>
      </c>
      <c r="T67" s="4">
        <v>0.0</v>
      </c>
      <c r="U67" s="901">
        <v>1.0</v>
      </c>
      <c r="V67" s="896"/>
      <c r="W67" s="896"/>
      <c r="X67" s="896"/>
      <c r="Y67" s="896"/>
      <c r="Z67" s="896"/>
      <c r="AA67" s="896"/>
    </row>
    <row r="68">
      <c r="A68" s="898" t="s">
        <v>1550</v>
      </c>
      <c r="B68" s="899">
        <v>1.0</v>
      </c>
      <c r="C68" s="4" t="s">
        <v>59</v>
      </c>
      <c r="D68" s="4">
        <v>1.0</v>
      </c>
      <c r="E68" s="4">
        <v>0.0</v>
      </c>
      <c r="F68" s="4">
        <v>1.0</v>
      </c>
      <c r="G68" s="4">
        <v>1.0</v>
      </c>
      <c r="H68" s="4">
        <v>1.0</v>
      </c>
      <c r="I68" s="4">
        <v>-1.0</v>
      </c>
      <c r="J68" s="4">
        <v>1.0</v>
      </c>
      <c r="K68" s="4">
        <v>1.0</v>
      </c>
      <c r="L68" s="4">
        <v>1.0</v>
      </c>
      <c r="M68" s="4">
        <v>1.0</v>
      </c>
      <c r="N68" s="900">
        <v>0.0</v>
      </c>
      <c r="O68" s="4">
        <v>1.0</v>
      </c>
      <c r="P68" s="4">
        <v>1.0</v>
      </c>
      <c r="Q68" s="4" t="s">
        <v>59</v>
      </c>
      <c r="R68" s="4">
        <v>0.0</v>
      </c>
      <c r="S68" s="4">
        <v>1.0</v>
      </c>
      <c r="T68" s="4">
        <v>0.0</v>
      </c>
      <c r="U68" s="901">
        <v>1.0</v>
      </c>
      <c r="V68" s="896"/>
      <c r="W68" s="896"/>
      <c r="X68" s="896"/>
      <c r="Y68" s="896"/>
      <c r="Z68" s="896"/>
      <c r="AA68" s="896"/>
    </row>
    <row r="69">
      <c r="A69" s="898" t="s">
        <v>1551</v>
      </c>
      <c r="B69" s="899">
        <v>1.0</v>
      </c>
      <c r="C69" s="4">
        <v>0.0</v>
      </c>
      <c r="D69" s="4">
        <v>1.0</v>
      </c>
      <c r="E69" s="4">
        <v>1.0</v>
      </c>
      <c r="F69" s="4" t="s">
        <v>59</v>
      </c>
      <c r="G69" s="4">
        <v>1.0</v>
      </c>
      <c r="H69" s="4">
        <v>1.0</v>
      </c>
      <c r="I69" s="4">
        <v>0.0</v>
      </c>
      <c r="J69" s="4">
        <v>1.0</v>
      </c>
      <c r="K69" s="4">
        <v>1.0</v>
      </c>
      <c r="L69" s="4">
        <v>1.0</v>
      </c>
      <c r="M69" s="4" t="s">
        <v>59</v>
      </c>
      <c r="N69" s="4">
        <v>1.0</v>
      </c>
      <c r="O69" s="4">
        <v>1.0</v>
      </c>
      <c r="P69" s="4">
        <v>1.0</v>
      </c>
      <c r="Q69" s="4">
        <v>1.0</v>
      </c>
      <c r="R69" s="4">
        <v>0.0</v>
      </c>
      <c r="S69" s="4">
        <v>0.0</v>
      </c>
      <c r="T69" s="4">
        <v>0.0</v>
      </c>
      <c r="U69" s="901">
        <v>1.0</v>
      </c>
      <c r="V69" s="896"/>
      <c r="W69" s="896"/>
      <c r="X69" s="896"/>
      <c r="Y69" s="896"/>
      <c r="Z69" s="896"/>
      <c r="AA69" s="896"/>
    </row>
    <row r="70">
      <c r="A70" s="898"/>
      <c r="B70" s="899"/>
      <c r="C70" s="4"/>
      <c r="D70" s="4"/>
      <c r="E70" s="896"/>
      <c r="F70" s="896"/>
      <c r="G70" s="896"/>
      <c r="H70" s="4">
        <v>1.0</v>
      </c>
      <c r="I70" s="896"/>
      <c r="J70" s="896"/>
      <c r="K70" s="896"/>
      <c r="L70" s="896"/>
      <c r="M70" s="896"/>
      <c r="N70" s="896"/>
      <c r="O70" s="896"/>
      <c r="P70" s="896"/>
      <c r="Q70" s="896"/>
      <c r="R70" s="896"/>
      <c r="S70" s="896"/>
      <c r="T70" s="896"/>
      <c r="U70" s="897"/>
      <c r="V70" s="896"/>
      <c r="W70" s="896"/>
      <c r="X70" s="896"/>
      <c r="Y70" s="896"/>
      <c r="Z70" s="896"/>
      <c r="AA70" s="896"/>
    </row>
    <row r="71">
      <c r="A71" s="898" t="s">
        <v>1552</v>
      </c>
      <c r="B71" s="899">
        <v>1.0</v>
      </c>
      <c r="C71" s="4">
        <v>1.0</v>
      </c>
      <c r="D71" s="4">
        <v>1.0</v>
      </c>
      <c r="E71" s="4">
        <v>1.0</v>
      </c>
      <c r="F71" s="4">
        <v>1.0</v>
      </c>
      <c r="G71" s="4">
        <v>1.0</v>
      </c>
      <c r="H71" s="4">
        <v>1.0</v>
      </c>
      <c r="I71" s="4">
        <v>0.0</v>
      </c>
      <c r="J71" s="4">
        <v>1.0</v>
      </c>
      <c r="K71" s="4">
        <v>1.0</v>
      </c>
      <c r="L71" s="4">
        <v>1.0</v>
      </c>
      <c r="M71" s="4">
        <v>1.0</v>
      </c>
      <c r="N71" s="900">
        <v>0.0</v>
      </c>
      <c r="O71" s="4">
        <v>1.0</v>
      </c>
      <c r="P71" s="4">
        <v>1.0</v>
      </c>
      <c r="Q71" s="4" t="s">
        <v>59</v>
      </c>
      <c r="R71" s="4" t="s">
        <v>59</v>
      </c>
      <c r="S71" s="4" t="s">
        <v>59</v>
      </c>
      <c r="T71" s="4">
        <v>0.0</v>
      </c>
      <c r="U71" s="901">
        <v>0.0</v>
      </c>
      <c r="V71" s="896"/>
      <c r="W71" s="896"/>
      <c r="X71" s="896"/>
      <c r="Y71" s="896"/>
      <c r="Z71" s="896"/>
      <c r="AA71" s="896"/>
    </row>
    <row r="72">
      <c r="A72" s="898" t="s">
        <v>1553</v>
      </c>
      <c r="B72" s="899" t="s">
        <v>59</v>
      </c>
      <c r="C72" s="899" t="s">
        <v>59</v>
      </c>
      <c r="D72" s="899" t="s">
        <v>59</v>
      </c>
      <c r="E72" s="899" t="s">
        <v>59</v>
      </c>
      <c r="F72" s="4">
        <v>1.0</v>
      </c>
      <c r="G72" s="4">
        <v>1.0</v>
      </c>
      <c r="H72" s="4">
        <v>1.0</v>
      </c>
      <c r="I72" s="4">
        <v>1.0</v>
      </c>
      <c r="J72" s="4">
        <v>1.0</v>
      </c>
      <c r="K72" s="4">
        <v>1.0</v>
      </c>
      <c r="L72" s="4">
        <v>1.0</v>
      </c>
      <c r="M72" s="4">
        <v>1.0</v>
      </c>
      <c r="N72" s="900">
        <v>0.0</v>
      </c>
      <c r="O72" s="4">
        <v>1.0</v>
      </c>
      <c r="P72" s="4">
        <v>1.0</v>
      </c>
      <c r="Q72" s="4">
        <v>1.0</v>
      </c>
      <c r="R72" s="4">
        <v>1.0</v>
      </c>
      <c r="S72" s="4">
        <v>1.0</v>
      </c>
      <c r="T72" s="4">
        <v>0.0</v>
      </c>
      <c r="U72" s="901">
        <v>1.0</v>
      </c>
      <c r="V72" s="896"/>
      <c r="W72" s="896"/>
      <c r="X72" s="896"/>
      <c r="Y72" s="896"/>
      <c r="Z72" s="896"/>
      <c r="AA72" s="896"/>
    </row>
    <row r="73">
      <c r="A73" s="898" t="s">
        <v>1557</v>
      </c>
      <c r="B73" s="899"/>
      <c r="C73" s="4"/>
      <c r="D73" s="4"/>
      <c r="E73" s="4"/>
      <c r="F73" s="4"/>
      <c r="G73" s="4"/>
      <c r="H73" s="4"/>
      <c r="I73" s="4"/>
      <c r="J73" s="4"/>
      <c r="K73" s="4">
        <v>1.0</v>
      </c>
      <c r="L73" s="4">
        <v>1.0</v>
      </c>
      <c r="M73" s="4">
        <v>1.0</v>
      </c>
      <c r="N73" s="900">
        <v>1.0</v>
      </c>
      <c r="O73" s="4">
        <v>1.0</v>
      </c>
      <c r="P73" s="4">
        <v>1.0</v>
      </c>
      <c r="Q73" s="4">
        <v>1.0</v>
      </c>
      <c r="R73" s="4">
        <v>1.0</v>
      </c>
      <c r="S73" s="4">
        <v>1.0</v>
      </c>
      <c r="T73" s="4">
        <v>-1.0</v>
      </c>
      <c r="U73" s="901">
        <v>1.0</v>
      </c>
      <c r="V73" s="896"/>
      <c r="W73" s="896"/>
      <c r="X73" s="896"/>
      <c r="Y73" s="896"/>
      <c r="Z73" s="896"/>
      <c r="AA73" s="896"/>
    </row>
    <row r="74">
      <c r="A74" s="898" t="s">
        <v>1556</v>
      </c>
      <c r="B74" s="899">
        <v>1.0</v>
      </c>
      <c r="C74" s="4">
        <v>0.0</v>
      </c>
      <c r="D74" s="4">
        <v>1.0</v>
      </c>
      <c r="E74" s="4">
        <v>0.0</v>
      </c>
      <c r="F74" s="4">
        <v>1.0</v>
      </c>
      <c r="G74" s="4" t="s">
        <v>59</v>
      </c>
      <c r="H74" s="4" t="s">
        <v>59</v>
      </c>
      <c r="I74" s="4">
        <v>-1.0</v>
      </c>
      <c r="J74" s="4">
        <v>1.0</v>
      </c>
      <c r="K74" s="4">
        <v>1.0</v>
      </c>
      <c r="L74" s="4">
        <v>1.0</v>
      </c>
      <c r="M74" s="4" t="s">
        <v>59</v>
      </c>
      <c r="N74" s="900">
        <v>1.0</v>
      </c>
      <c r="O74" s="4">
        <v>1.0</v>
      </c>
      <c r="P74" s="4">
        <v>1.0</v>
      </c>
      <c r="Q74" s="4" t="s">
        <v>59</v>
      </c>
      <c r="R74" s="4">
        <v>-1.0</v>
      </c>
      <c r="S74" s="4">
        <v>1.0</v>
      </c>
      <c r="T74" s="4">
        <v>-1.0</v>
      </c>
      <c r="U74" s="901">
        <v>-1.0</v>
      </c>
      <c r="V74" s="896"/>
      <c r="W74" s="896"/>
      <c r="X74" s="896"/>
      <c r="Y74" s="896"/>
      <c r="Z74" s="896"/>
      <c r="AA74" s="896"/>
    </row>
    <row r="75">
      <c r="A75" s="898" t="s">
        <v>1554</v>
      </c>
      <c r="B75" s="899">
        <v>1.0</v>
      </c>
      <c r="C75" s="4">
        <v>0.0</v>
      </c>
      <c r="D75" s="4">
        <v>1.0</v>
      </c>
      <c r="E75" s="4">
        <v>1.0</v>
      </c>
      <c r="F75" s="4">
        <v>1.0</v>
      </c>
      <c r="G75" s="4">
        <v>1.0</v>
      </c>
      <c r="H75" s="4">
        <v>1.0</v>
      </c>
      <c r="I75" s="4">
        <v>-1.0</v>
      </c>
      <c r="J75" s="4">
        <v>-1.0</v>
      </c>
      <c r="K75" s="4">
        <v>-1.0</v>
      </c>
      <c r="L75" s="4">
        <v>1.0</v>
      </c>
      <c r="M75" s="4">
        <v>1.0</v>
      </c>
      <c r="N75" s="900">
        <v>0.0</v>
      </c>
      <c r="O75" s="4">
        <v>1.0</v>
      </c>
      <c r="P75" s="4">
        <v>1.0</v>
      </c>
      <c r="Q75" s="4">
        <v>1.0</v>
      </c>
      <c r="R75" s="4">
        <v>1.0</v>
      </c>
      <c r="S75" s="4">
        <v>1.0</v>
      </c>
      <c r="T75" s="4">
        <v>0.0</v>
      </c>
      <c r="U75" s="901">
        <v>1.0</v>
      </c>
      <c r="V75" s="896"/>
      <c r="W75" s="896"/>
      <c r="X75" s="896"/>
      <c r="Y75" s="896"/>
      <c r="Z75" s="896"/>
      <c r="AA75" s="896"/>
    </row>
    <row r="76">
      <c r="A76" s="898" t="s">
        <v>1559</v>
      </c>
      <c r="B76" s="899">
        <v>1.0</v>
      </c>
      <c r="C76" s="4">
        <v>-1.0</v>
      </c>
      <c r="D76" s="4" t="s">
        <v>59</v>
      </c>
      <c r="E76" s="4">
        <v>1.0</v>
      </c>
      <c r="F76" s="4">
        <v>1.0</v>
      </c>
      <c r="G76" s="4">
        <v>0.0</v>
      </c>
      <c r="H76" s="4">
        <v>1.0</v>
      </c>
      <c r="I76" s="4">
        <v>0.0</v>
      </c>
      <c r="J76" s="4" t="s">
        <v>59</v>
      </c>
      <c r="K76" s="896"/>
      <c r="L76" s="896"/>
      <c r="M76" s="896"/>
      <c r="N76" s="902"/>
      <c r="O76" s="896"/>
      <c r="P76" s="896"/>
      <c r="Q76" s="896"/>
      <c r="R76" s="896"/>
      <c r="S76" s="896"/>
      <c r="T76" s="896"/>
      <c r="U76" s="897"/>
      <c r="V76" s="896"/>
      <c r="W76" s="896"/>
      <c r="X76" s="896"/>
      <c r="Y76" s="896"/>
      <c r="Z76" s="896"/>
      <c r="AA76" s="896"/>
    </row>
    <row r="77">
      <c r="A77" s="898" t="s">
        <v>1555</v>
      </c>
      <c r="B77" s="899">
        <v>1.0</v>
      </c>
      <c r="C77" s="4">
        <v>0.0</v>
      </c>
      <c r="D77" s="4">
        <v>1.0</v>
      </c>
      <c r="E77" s="4">
        <v>1.0</v>
      </c>
      <c r="F77" s="4">
        <v>1.0</v>
      </c>
      <c r="G77" s="4">
        <v>1.0</v>
      </c>
      <c r="H77" s="4">
        <v>1.0</v>
      </c>
      <c r="I77" s="4">
        <v>0.0</v>
      </c>
      <c r="J77" s="4">
        <v>1.0</v>
      </c>
      <c r="K77" s="4">
        <v>1.0</v>
      </c>
      <c r="L77" s="4">
        <v>1.0</v>
      </c>
      <c r="M77" s="4">
        <v>1.0</v>
      </c>
      <c r="N77" s="900">
        <v>0.0</v>
      </c>
      <c r="O77" s="4">
        <v>1.0</v>
      </c>
      <c r="P77" s="4">
        <v>1.0</v>
      </c>
      <c r="Q77" s="4">
        <v>1.0</v>
      </c>
      <c r="R77" s="4">
        <v>0.0</v>
      </c>
      <c r="S77" s="4">
        <v>1.0</v>
      </c>
      <c r="T77" s="4">
        <v>0.0</v>
      </c>
      <c r="U77" s="901">
        <v>1.0</v>
      </c>
      <c r="V77" s="896"/>
      <c r="W77" s="896"/>
      <c r="X77" s="896"/>
      <c r="Y77" s="896"/>
      <c r="Z77" s="896"/>
      <c r="AA77" s="896"/>
    </row>
    <row r="78">
      <c r="B78" s="138"/>
      <c r="U78" s="31"/>
    </row>
    <row r="79">
      <c r="B79" s="138"/>
      <c r="U79" s="31"/>
    </row>
    <row r="80">
      <c r="B80" s="138"/>
      <c r="U80" s="31"/>
    </row>
    <row r="81">
      <c r="B81" s="138"/>
      <c r="U81" s="31"/>
    </row>
    <row r="82">
      <c r="B82" s="138"/>
      <c r="U82" s="31"/>
    </row>
    <row r="83">
      <c r="B83" s="138"/>
      <c r="K83" s="4"/>
      <c r="U83" s="31"/>
    </row>
  </sheetData>
  <mergeCells count="16">
    <mergeCell ref="H3:I3"/>
    <mergeCell ref="J3:L3"/>
    <mergeCell ref="M3:N3"/>
    <mergeCell ref="O3:P3"/>
    <mergeCell ref="Q3:R3"/>
    <mergeCell ref="S3:T3"/>
    <mergeCell ref="U3:V3"/>
    <mergeCell ref="W3:Y3"/>
    <mergeCell ref="B2:G2"/>
    <mergeCell ref="H2:N2"/>
    <mergeCell ref="O2:T2"/>
    <mergeCell ref="U2:AA2"/>
    <mergeCell ref="B3:C3"/>
    <mergeCell ref="D3:E3"/>
    <mergeCell ref="F3:G3"/>
    <mergeCell ref="Z3:AA3"/>
  </mergeCells>
  <conditionalFormatting sqref="H66:H77 B67:G77 I67:AA77 K83">
    <cfRule type="cellIs" dxfId="0" priority="1" operator="equal">
      <formula>1</formula>
    </cfRule>
  </conditionalFormatting>
  <conditionalFormatting sqref="H66:H77 B67:G77 I67:AA77 K83">
    <cfRule type="cellIs" dxfId="1" priority="2" operator="equal">
      <formula>-1</formula>
    </cfRule>
  </conditionalFormatting>
  <dataValidations>
    <dataValidation type="list" allowBlank="1" showErrorMessage="1" sqref="B25:AA25 B36:AA36">
      <formula1>"0%,100%"</formula1>
    </dataValidation>
  </dataValidation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9.75"/>
    <col customWidth="1" hidden="1" min="2" max="12" width="15.13"/>
    <col customWidth="1" min="13" max="17" width="15.13"/>
    <col customWidth="1" min="18" max="18" width="20.0"/>
    <col customWidth="1" min="19" max="25" width="15.13"/>
    <col customWidth="1" hidden="1" min="26" max="38" width="2.63"/>
    <col customWidth="1" min="39" max="41" width="2.63"/>
  </cols>
  <sheetData>
    <row r="1" ht="30.0" customHeight="1">
      <c r="A1" s="1" t="s">
        <v>1560</v>
      </c>
      <c r="B1" s="2"/>
      <c r="C1" s="3"/>
      <c r="D1" s="3"/>
      <c r="E1" s="3"/>
      <c r="F1" s="3"/>
      <c r="G1" s="3"/>
      <c r="H1" s="3"/>
      <c r="I1" s="3"/>
      <c r="J1" s="3"/>
      <c r="K1" s="3"/>
      <c r="L1" s="3"/>
      <c r="M1" s="3"/>
      <c r="N1" s="3"/>
      <c r="O1" s="4"/>
      <c r="P1" s="4"/>
      <c r="Q1" s="4"/>
      <c r="R1" s="4"/>
      <c r="S1" s="4"/>
      <c r="T1" s="4"/>
      <c r="U1" s="4"/>
      <c r="V1" s="4"/>
      <c r="W1" s="4"/>
      <c r="X1" s="4"/>
      <c r="Y1" s="4"/>
      <c r="Z1" s="4"/>
      <c r="AA1" s="4"/>
      <c r="AB1" s="4"/>
      <c r="AC1" s="4"/>
      <c r="AD1" s="4"/>
      <c r="AE1" s="4"/>
      <c r="AF1" s="4"/>
      <c r="AG1" s="4"/>
      <c r="AH1" s="4"/>
      <c r="AI1" s="4"/>
      <c r="AJ1" s="4"/>
      <c r="AK1" s="4"/>
      <c r="AL1" s="4"/>
      <c r="AM1" s="4"/>
      <c r="AN1" s="4"/>
      <c r="AO1" s="4"/>
    </row>
    <row r="2">
      <c r="A2" s="6" t="s">
        <v>1</v>
      </c>
      <c r="B2" s="7" t="s">
        <v>2</v>
      </c>
      <c r="C2" s="8"/>
      <c r="D2" s="8"/>
      <c r="E2" s="8"/>
      <c r="F2" s="8"/>
      <c r="G2" s="9"/>
      <c r="H2" s="10" t="s">
        <v>3</v>
      </c>
      <c r="I2" s="8"/>
      <c r="J2" s="8"/>
      <c r="K2" s="8"/>
      <c r="L2" s="8"/>
      <c r="M2" s="467" t="s">
        <v>4</v>
      </c>
      <c r="N2" s="8"/>
      <c r="O2" s="8"/>
      <c r="P2" s="8"/>
      <c r="Q2" s="8"/>
      <c r="R2" s="9"/>
      <c r="S2" s="903" t="s">
        <v>5</v>
      </c>
      <c r="T2" s="574"/>
      <c r="U2" s="574"/>
      <c r="V2" s="574"/>
      <c r="W2" s="574"/>
      <c r="X2" s="574"/>
      <c r="Y2" s="575"/>
      <c r="Z2" s="206"/>
      <c r="AA2" s="206"/>
      <c r="AB2" s="206"/>
      <c r="AC2" s="206"/>
      <c r="AD2" s="206"/>
      <c r="AE2" s="206"/>
      <c r="AF2" s="206"/>
      <c r="AG2" s="206"/>
      <c r="AH2" s="206"/>
      <c r="AI2" s="206"/>
      <c r="AJ2" s="206"/>
      <c r="AK2" s="206"/>
      <c r="AL2" s="206"/>
      <c r="AM2" s="206"/>
      <c r="AN2" s="206"/>
      <c r="AO2" s="206"/>
    </row>
    <row r="3">
      <c r="A3" s="6" t="s">
        <v>6</v>
      </c>
      <c r="B3" s="13" t="s">
        <v>7</v>
      </c>
      <c r="C3" s="14"/>
      <c r="D3" s="293" t="s">
        <v>8</v>
      </c>
      <c r="E3" s="9"/>
      <c r="F3" s="10" t="s">
        <v>9</v>
      </c>
      <c r="G3" s="9"/>
      <c r="H3" s="293" t="s">
        <v>10</v>
      </c>
      <c r="I3" s="10" t="s">
        <v>11</v>
      </c>
      <c r="J3" s="8"/>
      <c r="K3" s="469" t="s">
        <v>12</v>
      </c>
      <c r="L3" s="8"/>
      <c r="M3" s="10" t="s">
        <v>13</v>
      </c>
      <c r="N3" s="9"/>
      <c r="O3" s="10" t="s">
        <v>14</v>
      </c>
      <c r="P3" s="9"/>
      <c r="Q3" s="10" t="s">
        <v>15</v>
      </c>
      <c r="R3" s="9"/>
      <c r="S3" s="10" t="s">
        <v>16</v>
      </c>
      <c r="T3" s="9"/>
      <c r="U3" s="10" t="s">
        <v>17</v>
      </c>
      <c r="V3" s="8"/>
      <c r="W3" s="9"/>
      <c r="X3" s="10" t="s">
        <v>18</v>
      </c>
      <c r="Y3" s="9"/>
      <c r="Z3" s="470"/>
      <c r="AA3" s="470"/>
      <c r="AB3" s="470"/>
      <c r="AC3" s="470"/>
      <c r="AD3" s="470"/>
      <c r="AE3" s="470"/>
      <c r="AF3" s="470"/>
      <c r="AG3" s="470"/>
      <c r="AH3" s="470"/>
      <c r="AI3" s="470"/>
      <c r="AJ3" s="470"/>
      <c r="AK3" s="470"/>
      <c r="AL3" s="470"/>
      <c r="AM3" s="470"/>
      <c r="AN3" s="470"/>
      <c r="AO3" s="470"/>
    </row>
    <row r="4">
      <c r="A4" s="6" t="s">
        <v>19</v>
      </c>
      <c r="B4" s="23" t="s">
        <v>1561</v>
      </c>
      <c r="C4" s="23" t="s">
        <v>1562</v>
      </c>
      <c r="D4" s="23" t="s">
        <v>1563</v>
      </c>
      <c r="E4" s="23" t="s">
        <v>1564</v>
      </c>
      <c r="F4" s="23" t="s">
        <v>1565</v>
      </c>
      <c r="G4" s="18" t="s">
        <v>1566</v>
      </c>
      <c r="H4" s="18" t="s">
        <v>1567</v>
      </c>
      <c r="I4" s="18" t="s">
        <v>1568</v>
      </c>
      <c r="J4" s="18" t="s">
        <v>1569</v>
      </c>
      <c r="K4" s="18" t="s">
        <v>1570</v>
      </c>
      <c r="L4" s="18" t="s">
        <v>1571</v>
      </c>
      <c r="M4" s="18" t="s">
        <v>1572</v>
      </c>
      <c r="N4" s="18" t="s">
        <v>1573</v>
      </c>
      <c r="O4" s="18" t="s">
        <v>1574</v>
      </c>
      <c r="P4" s="18" t="s">
        <v>1575</v>
      </c>
      <c r="Q4" s="18" t="s">
        <v>1576</v>
      </c>
      <c r="R4" s="18" t="s">
        <v>1577</v>
      </c>
      <c r="S4" s="18" t="s">
        <v>1578</v>
      </c>
      <c r="T4" s="18" t="s">
        <v>1579</v>
      </c>
      <c r="U4" s="18"/>
      <c r="V4" s="18"/>
      <c r="W4" s="18"/>
      <c r="X4" s="18"/>
      <c r="Y4" s="18"/>
      <c r="Z4" s="21"/>
      <c r="AA4" s="21"/>
      <c r="AB4" s="21"/>
      <c r="AC4" s="21"/>
      <c r="AD4" s="21"/>
      <c r="AE4" s="21"/>
      <c r="AF4" s="21"/>
      <c r="AG4" s="21"/>
      <c r="AH4" s="21"/>
      <c r="AI4" s="21"/>
      <c r="AJ4" s="21"/>
      <c r="AK4" s="21"/>
      <c r="AL4" s="21"/>
      <c r="AM4" s="21"/>
      <c r="AN4" s="21"/>
      <c r="AO4" s="21"/>
    </row>
    <row r="5">
      <c r="A5" s="678" t="s">
        <v>20</v>
      </c>
      <c r="B5" s="471" t="s">
        <v>1580</v>
      </c>
      <c r="C5" s="471" t="s">
        <v>1581</v>
      </c>
      <c r="D5" s="471" t="s">
        <v>1582</v>
      </c>
      <c r="E5" s="471" t="s">
        <v>1583</v>
      </c>
      <c r="F5" s="471" t="s">
        <v>1584</v>
      </c>
      <c r="G5" s="471" t="s">
        <v>1585</v>
      </c>
      <c r="H5" s="471" t="s">
        <v>1586</v>
      </c>
      <c r="I5" s="471" t="s">
        <v>1587</v>
      </c>
      <c r="J5" s="471" t="s">
        <v>1588</v>
      </c>
      <c r="K5" s="471" t="s">
        <v>1589</v>
      </c>
      <c r="L5" s="471" t="s">
        <v>1590</v>
      </c>
      <c r="M5" s="471" t="s">
        <v>1591</v>
      </c>
      <c r="N5" s="471" t="s">
        <v>1592</v>
      </c>
      <c r="O5" s="471" t="s">
        <v>1593</v>
      </c>
      <c r="P5" s="471" t="s">
        <v>1594</v>
      </c>
      <c r="Q5" s="471" t="s">
        <v>1595</v>
      </c>
      <c r="R5" s="471" t="s">
        <v>1596</v>
      </c>
      <c r="S5" s="471" t="s">
        <v>1597</v>
      </c>
      <c r="T5" s="471" t="s">
        <v>1598</v>
      </c>
      <c r="U5" s="471"/>
      <c r="V5" s="471"/>
      <c r="W5" s="471"/>
      <c r="X5" s="471"/>
      <c r="Y5" s="471"/>
      <c r="Z5" s="25"/>
      <c r="AA5" s="25"/>
      <c r="AB5" s="25"/>
      <c r="AC5" s="25"/>
      <c r="AD5" s="25"/>
      <c r="AE5" s="25"/>
      <c r="AF5" s="25"/>
      <c r="AG5" s="25"/>
      <c r="AH5" s="25"/>
      <c r="AI5" s="25"/>
      <c r="AJ5" s="25"/>
      <c r="AK5" s="25"/>
      <c r="AL5" s="25"/>
      <c r="AM5" s="25"/>
      <c r="AN5" s="25"/>
      <c r="AO5" s="25"/>
    </row>
    <row r="6">
      <c r="A6" s="29"/>
      <c r="B6" s="30"/>
      <c r="I6" s="896"/>
    </row>
    <row r="7">
      <c r="A7" s="32" t="s">
        <v>21</v>
      </c>
      <c r="B7" s="904">
        <f t="shared" ref="B7:G7" si="1">SUM(B8,B9)</f>
        <v>159</v>
      </c>
      <c r="C7" s="904">
        <f t="shared" si="1"/>
        <v>147</v>
      </c>
      <c r="D7" s="904">
        <f t="shared" si="1"/>
        <v>189</v>
      </c>
      <c r="E7" s="904">
        <f t="shared" si="1"/>
        <v>240</v>
      </c>
      <c r="F7" s="904">
        <f t="shared" si="1"/>
        <v>309</v>
      </c>
      <c r="G7" s="904">
        <f t="shared" si="1"/>
        <v>340</v>
      </c>
      <c r="H7" s="904">
        <v>330.0</v>
      </c>
      <c r="I7" s="904">
        <f>SUM(I8,I9)</f>
        <v>375</v>
      </c>
      <c r="J7" s="904">
        <v>273.0</v>
      </c>
      <c r="K7" s="904">
        <v>399.0</v>
      </c>
      <c r="L7" s="904">
        <v>354.0</v>
      </c>
      <c r="M7" s="904">
        <f t="shared" ref="M7:N7" si="2">SUM(M8,M9)</f>
        <v>303</v>
      </c>
      <c r="N7" s="904">
        <f t="shared" si="2"/>
        <v>288</v>
      </c>
      <c r="O7" s="904">
        <v>190.0</v>
      </c>
      <c r="P7" s="904">
        <f t="shared" ref="P7:R7" si="3">SUM(P8,P9)</f>
        <v>288</v>
      </c>
      <c r="Q7" s="904">
        <f t="shared" si="3"/>
        <v>297</v>
      </c>
      <c r="R7" s="904">
        <f t="shared" si="3"/>
        <v>272</v>
      </c>
      <c r="S7" s="904">
        <v>256.0</v>
      </c>
      <c r="T7" s="904">
        <f t="shared" ref="T7:Y7" si="4">SUM(T8,T9)</f>
        <v>244</v>
      </c>
      <c r="U7" s="904">
        <f t="shared" si="4"/>
        <v>0</v>
      </c>
      <c r="V7" s="904">
        <f t="shared" si="4"/>
        <v>0</v>
      </c>
      <c r="W7" s="904">
        <f t="shared" si="4"/>
        <v>0</v>
      </c>
      <c r="X7" s="904">
        <f t="shared" si="4"/>
        <v>0</v>
      </c>
      <c r="Y7" s="904">
        <f t="shared" si="4"/>
        <v>0</v>
      </c>
      <c r="Z7" s="46"/>
      <c r="AA7" s="46"/>
      <c r="AB7" s="46"/>
      <c r="AC7" s="46"/>
      <c r="AD7" s="46"/>
      <c r="AE7" s="46"/>
      <c r="AF7" s="46"/>
      <c r="AG7" s="46"/>
      <c r="AH7" s="46"/>
      <c r="AI7" s="46"/>
      <c r="AJ7" s="46"/>
      <c r="AK7" s="46"/>
      <c r="AL7" s="46"/>
      <c r="AM7" s="46"/>
      <c r="AN7" s="46"/>
      <c r="AO7" s="46"/>
    </row>
    <row r="8">
      <c r="A8" s="37" t="s">
        <v>22</v>
      </c>
      <c r="B8" s="905">
        <f t="shared" ref="B8:D8" si="5">SUM(B36:B39)</f>
        <v>144</v>
      </c>
      <c r="C8" s="905">
        <f t="shared" si="5"/>
        <v>138</v>
      </c>
      <c r="D8" s="905">
        <f t="shared" si="5"/>
        <v>164</v>
      </c>
      <c r="E8" s="905">
        <f t="shared" ref="E8:G8" si="6">SUM(E36:E45)</f>
        <v>227</v>
      </c>
      <c r="F8" s="905">
        <f t="shared" si="6"/>
        <v>300</v>
      </c>
      <c r="G8" s="905">
        <f t="shared" si="6"/>
        <v>325</v>
      </c>
      <c r="H8" s="905">
        <v>214.0</v>
      </c>
      <c r="I8" s="905">
        <v>342.0</v>
      </c>
      <c r="J8" s="905">
        <v>263.0</v>
      </c>
      <c r="K8" s="905">
        <v>373.0</v>
      </c>
      <c r="L8" s="905">
        <f t="shared" ref="L8:M8" si="7">SUM(L36:L45)</f>
        <v>338</v>
      </c>
      <c r="M8" s="905">
        <f t="shared" si="7"/>
        <v>285</v>
      </c>
      <c r="N8" s="905">
        <v>280.0</v>
      </c>
      <c r="O8" s="905">
        <v>174.0</v>
      </c>
      <c r="P8" s="905">
        <v>267.0</v>
      </c>
      <c r="Q8" s="905">
        <f>SUM(Q36:Q45)</f>
        <v>246</v>
      </c>
      <c r="R8" s="905">
        <v>232.0</v>
      </c>
      <c r="S8" s="905">
        <v>227.0</v>
      </c>
      <c r="T8" s="905">
        <v>244.0</v>
      </c>
      <c r="U8" s="905">
        <f t="shared" ref="U8:Y8" si="8">SUM(U36:U45)</f>
        <v>0</v>
      </c>
      <c r="V8" s="905">
        <f t="shared" si="8"/>
        <v>0</v>
      </c>
      <c r="W8" s="905">
        <f t="shared" si="8"/>
        <v>0</v>
      </c>
      <c r="X8" s="905">
        <f t="shared" si="8"/>
        <v>0</v>
      </c>
      <c r="Y8" s="905">
        <f t="shared" si="8"/>
        <v>0</v>
      </c>
      <c r="Z8" s="46"/>
      <c r="AA8" s="46"/>
      <c r="AB8" s="46"/>
      <c r="AC8" s="46"/>
      <c r="AD8" s="46"/>
      <c r="AE8" s="46"/>
      <c r="AF8" s="46"/>
      <c r="AG8" s="46"/>
      <c r="AH8" s="46"/>
      <c r="AI8" s="46"/>
      <c r="AJ8" s="46"/>
      <c r="AK8" s="46"/>
      <c r="AL8" s="46"/>
      <c r="AM8" s="46"/>
      <c r="AN8" s="46"/>
      <c r="AO8" s="46"/>
    </row>
    <row r="9">
      <c r="A9" s="37" t="s">
        <v>23</v>
      </c>
      <c r="B9" s="905">
        <v>15.0</v>
      </c>
      <c r="C9" s="905">
        <v>9.0</v>
      </c>
      <c r="D9" s="905">
        <v>25.0</v>
      </c>
      <c r="E9" s="905">
        <v>13.0</v>
      </c>
      <c r="F9" s="905">
        <v>9.0</v>
      </c>
      <c r="G9" s="905">
        <v>15.0</v>
      </c>
      <c r="H9" s="905">
        <f>47+69</f>
        <v>116</v>
      </c>
      <c r="I9" s="905">
        <v>33.0</v>
      </c>
      <c r="J9" s="905">
        <v>68.0</v>
      </c>
      <c r="K9" s="905">
        <v>30.0</v>
      </c>
      <c r="L9" s="905">
        <v>16.0</v>
      </c>
      <c r="M9" s="905">
        <v>18.0</v>
      </c>
      <c r="N9" s="905">
        <v>8.0</v>
      </c>
      <c r="O9" s="905">
        <v>16.0</v>
      </c>
      <c r="P9" s="905">
        <v>21.0</v>
      </c>
      <c r="Q9" s="905">
        <v>51.0</v>
      </c>
      <c r="R9" s="905">
        <v>40.0</v>
      </c>
      <c r="S9" s="905">
        <v>29.0</v>
      </c>
      <c r="T9" s="905">
        <v>0.0</v>
      </c>
      <c r="U9" s="905">
        <v>0.0</v>
      </c>
      <c r="V9" s="905">
        <v>0.0</v>
      </c>
      <c r="W9" s="905">
        <v>0.0</v>
      </c>
      <c r="X9" s="905">
        <v>0.0</v>
      </c>
      <c r="Y9" s="905">
        <v>0.0</v>
      </c>
      <c r="Z9" s="46"/>
      <c r="AA9" s="46"/>
      <c r="AB9" s="46"/>
      <c r="AC9" s="46"/>
      <c r="AD9" s="46"/>
      <c r="AE9" s="46"/>
      <c r="AF9" s="46"/>
      <c r="AG9" s="46"/>
      <c r="AH9" s="46"/>
      <c r="AI9" s="46"/>
      <c r="AJ9" s="46"/>
      <c r="AK9" s="46"/>
      <c r="AL9" s="46"/>
      <c r="AM9" s="46"/>
      <c r="AN9" s="46"/>
      <c r="AO9" s="46"/>
    </row>
    <row r="10">
      <c r="A10" s="42" t="s">
        <v>24</v>
      </c>
      <c r="B10" s="906">
        <f t="shared" ref="B10:Y10" si="9">IFERROR(B9/B7, 0)</f>
        <v>0.09433962264</v>
      </c>
      <c r="C10" s="906">
        <f t="shared" si="9"/>
        <v>0.0612244898</v>
      </c>
      <c r="D10" s="906">
        <f t="shared" si="9"/>
        <v>0.1322751323</v>
      </c>
      <c r="E10" s="906">
        <f t="shared" si="9"/>
        <v>0.05416666667</v>
      </c>
      <c r="F10" s="906">
        <f t="shared" si="9"/>
        <v>0.02912621359</v>
      </c>
      <c r="G10" s="906">
        <f t="shared" si="9"/>
        <v>0.04411764706</v>
      </c>
      <c r="H10" s="906">
        <f t="shared" si="9"/>
        <v>0.3515151515</v>
      </c>
      <c r="I10" s="906">
        <f t="shared" si="9"/>
        <v>0.088</v>
      </c>
      <c r="J10" s="906">
        <f t="shared" si="9"/>
        <v>0.2490842491</v>
      </c>
      <c r="K10" s="906">
        <f t="shared" si="9"/>
        <v>0.07518796992</v>
      </c>
      <c r="L10" s="906">
        <f t="shared" si="9"/>
        <v>0.04519774011</v>
      </c>
      <c r="M10" s="906">
        <f t="shared" si="9"/>
        <v>0.05940594059</v>
      </c>
      <c r="N10" s="906">
        <f t="shared" si="9"/>
        <v>0.02777777778</v>
      </c>
      <c r="O10" s="906">
        <f t="shared" si="9"/>
        <v>0.08421052632</v>
      </c>
      <c r="P10" s="906">
        <f t="shared" si="9"/>
        <v>0.07291666667</v>
      </c>
      <c r="Q10" s="906">
        <f t="shared" si="9"/>
        <v>0.1717171717</v>
      </c>
      <c r="R10" s="906">
        <f t="shared" si="9"/>
        <v>0.1470588235</v>
      </c>
      <c r="S10" s="906">
        <f t="shared" si="9"/>
        <v>0.11328125</v>
      </c>
      <c r="T10" s="906">
        <f t="shared" si="9"/>
        <v>0</v>
      </c>
      <c r="U10" s="906">
        <f t="shared" si="9"/>
        <v>0</v>
      </c>
      <c r="V10" s="906">
        <f t="shared" si="9"/>
        <v>0</v>
      </c>
      <c r="W10" s="906">
        <f t="shared" si="9"/>
        <v>0</v>
      </c>
      <c r="X10" s="906">
        <f t="shared" si="9"/>
        <v>0</v>
      </c>
      <c r="Y10" s="906">
        <f t="shared" si="9"/>
        <v>0</v>
      </c>
      <c r="Z10" s="428"/>
      <c r="AA10" s="428"/>
      <c r="AB10" s="428"/>
      <c r="AC10" s="428"/>
      <c r="AD10" s="428"/>
      <c r="AE10" s="428"/>
      <c r="AF10" s="428"/>
      <c r="AG10" s="428"/>
      <c r="AH10" s="428"/>
      <c r="AI10" s="428"/>
      <c r="AJ10" s="428"/>
      <c r="AK10" s="428"/>
      <c r="AL10" s="428"/>
      <c r="AM10" s="428"/>
      <c r="AN10" s="428"/>
      <c r="AO10" s="428"/>
    </row>
    <row r="11">
      <c r="A11" s="40"/>
      <c r="B11" s="907"/>
      <c r="C11" s="907"/>
      <c r="D11" s="907"/>
      <c r="E11" s="907"/>
      <c r="F11" s="907"/>
      <c r="G11" s="907"/>
      <c r="H11" s="907"/>
      <c r="I11" s="907"/>
      <c r="J11" s="907"/>
      <c r="K11" s="907"/>
      <c r="L11" s="907"/>
      <c r="M11" s="907"/>
      <c r="N11" s="907"/>
      <c r="O11" s="907"/>
      <c r="P11" s="907"/>
      <c r="Q11" s="907"/>
      <c r="R11" s="907"/>
      <c r="S11" s="907"/>
      <c r="T11" s="907"/>
      <c r="U11" s="907"/>
      <c r="V11" s="907"/>
      <c r="W11" s="907"/>
      <c r="X11" s="907"/>
      <c r="Y11" s="907"/>
      <c r="Z11" s="46"/>
      <c r="AA11" s="46"/>
      <c r="AB11" s="46"/>
      <c r="AC11" s="46"/>
      <c r="AD11" s="46"/>
      <c r="AE11" s="46"/>
      <c r="AF11" s="46"/>
      <c r="AG11" s="46"/>
      <c r="AH11" s="46"/>
      <c r="AI11" s="46"/>
      <c r="AJ11" s="46"/>
      <c r="AK11" s="46"/>
      <c r="AL11" s="46"/>
      <c r="AM11" s="46"/>
      <c r="AN11" s="46"/>
      <c r="AO11" s="46"/>
    </row>
    <row r="12">
      <c r="A12" s="48" t="s">
        <v>25</v>
      </c>
      <c r="B12" s="908">
        <v>16.0</v>
      </c>
      <c r="C12" s="908">
        <v>19.0</v>
      </c>
      <c r="D12" s="908">
        <v>29.0</v>
      </c>
      <c r="E12" s="908">
        <v>17.0</v>
      </c>
      <c r="F12" s="908">
        <v>31.0</v>
      </c>
      <c r="G12" s="908">
        <v>31.0</v>
      </c>
      <c r="H12" s="908">
        <v>67.0</v>
      </c>
      <c r="I12" s="908">
        <v>35.0</v>
      </c>
      <c r="J12" s="908">
        <v>21.0</v>
      </c>
      <c r="K12" s="908">
        <v>35.0</v>
      </c>
      <c r="L12" s="908">
        <v>17.0</v>
      </c>
      <c r="M12" s="908">
        <v>8.0</v>
      </c>
      <c r="N12" s="908">
        <v>0.0</v>
      </c>
      <c r="O12" s="908">
        <v>12.0</v>
      </c>
      <c r="P12" s="908">
        <v>10.0</v>
      </c>
      <c r="Q12" s="908">
        <v>26.0</v>
      </c>
      <c r="R12" s="908">
        <v>9.0</v>
      </c>
      <c r="S12" s="908">
        <v>10.0</v>
      </c>
      <c r="T12" s="908"/>
      <c r="U12" s="908"/>
      <c r="V12" s="908"/>
      <c r="W12" s="908"/>
      <c r="X12" s="908"/>
      <c r="Y12" s="908"/>
      <c r="Z12" s="63"/>
      <c r="AA12" s="63"/>
      <c r="AB12" s="63"/>
      <c r="AC12" s="63"/>
      <c r="AD12" s="63"/>
      <c r="AE12" s="63"/>
      <c r="AF12" s="63"/>
      <c r="AG12" s="63"/>
      <c r="AH12" s="63"/>
      <c r="AI12" s="63"/>
      <c r="AJ12" s="63"/>
      <c r="AK12" s="63"/>
      <c r="AL12" s="63"/>
      <c r="AM12" s="63"/>
      <c r="AN12" s="63"/>
      <c r="AO12" s="63"/>
    </row>
    <row r="13">
      <c r="A13" s="53" t="s">
        <v>26</v>
      </c>
      <c r="B13" s="909">
        <v>13.0</v>
      </c>
      <c r="C13" s="909">
        <v>14.0</v>
      </c>
      <c r="D13" s="909">
        <v>20.0</v>
      </c>
      <c r="E13" s="909">
        <v>17.0</v>
      </c>
      <c r="F13" s="909">
        <v>25.0</v>
      </c>
      <c r="G13" s="909">
        <v>22.0</v>
      </c>
      <c r="H13" s="909">
        <v>33.0</v>
      </c>
      <c r="I13" s="909">
        <v>31.0</v>
      </c>
      <c r="J13" s="909">
        <v>19.0</v>
      </c>
      <c r="K13" s="909">
        <v>29.0</v>
      </c>
      <c r="L13" s="909">
        <v>9.0</v>
      </c>
      <c r="M13" s="909">
        <v>8.0</v>
      </c>
      <c r="N13" s="909">
        <v>0.0</v>
      </c>
      <c r="O13" s="909">
        <v>7.0</v>
      </c>
      <c r="P13" s="909">
        <v>7.0</v>
      </c>
      <c r="Q13" s="909">
        <v>13.0</v>
      </c>
      <c r="R13" s="909">
        <v>7.0</v>
      </c>
      <c r="S13" s="909">
        <v>8.0</v>
      </c>
      <c r="T13" s="909"/>
      <c r="U13" s="909"/>
      <c r="V13" s="909"/>
      <c r="W13" s="909"/>
      <c r="X13" s="909"/>
      <c r="Y13" s="909"/>
      <c r="Z13" s="63"/>
      <c r="AA13" s="63"/>
      <c r="AB13" s="63"/>
      <c r="AC13" s="63"/>
      <c r="AD13" s="63"/>
      <c r="AE13" s="63"/>
      <c r="AF13" s="63"/>
      <c r="AG13" s="63"/>
      <c r="AH13" s="63"/>
      <c r="AI13" s="63"/>
      <c r="AJ13" s="63"/>
      <c r="AK13" s="63"/>
      <c r="AL13" s="63"/>
      <c r="AM13" s="63"/>
      <c r="AN13" s="63"/>
      <c r="AO13" s="63"/>
    </row>
    <row r="14">
      <c r="A14" s="58" t="s">
        <v>27</v>
      </c>
      <c r="B14" s="910">
        <v>3.0</v>
      </c>
      <c r="C14" s="910">
        <v>8.0</v>
      </c>
      <c r="D14" s="910">
        <v>9.0</v>
      </c>
      <c r="E14" s="910">
        <v>3.0</v>
      </c>
      <c r="F14" s="910">
        <v>6.0</v>
      </c>
      <c r="G14" s="910">
        <v>14.0</v>
      </c>
      <c r="H14" s="910">
        <v>42.0</v>
      </c>
      <c r="I14" s="910">
        <v>4.0</v>
      </c>
      <c r="J14" s="910">
        <v>10.0</v>
      </c>
      <c r="K14" s="910">
        <v>6.0</v>
      </c>
      <c r="L14" s="910">
        <v>8.0</v>
      </c>
      <c r="M14" s="910">
        <v>0.0</v>
      </c>
      <c r="N14" s="910">
        <v>0.0</v>
      </c>
      <c r="O14" s="910">
        <v>5.0</v>
      </c>
      <c r="P14" s="910">
        <v>3.0</v>
      </c>
      <c r="Q14" s="910">
        <v>13.0</v>
      </c>
      <c r="R14" s="910">
        <v>2.0</v>
      </c>
      <c r="S14" s="910">
        <v>10.0</v>
      </c>
      <c r="T14" s="910"/>
      <c r="U14" s="910"/>
      <c r="V14" s="910"/>
      <c r="W14" s="910"/>
      <c r="X14" s="910"/>
      <c r="Y14" s="910"/>
      <c r="Z14" s="63"/>
      <c r="AA14" s="63"/>
      <c r="AB14" s="63"/>
      <c r="AC14" s="63"/>
      <c r="AD14" s="63"/>
      <c r="AE14" s="63"/>
      <c r="AF14" s="63"/>
      <c r="AG14" s="63"/>
      <c r="AH14" s="63"/>
      <c r="AI14" s="63"/>
      <c r="AJ14" s="63"/>
      <c r="AK14" s="63"/>
      <c r="AL14" s="63"/>
      <c r="AM14" s="63"/>
      <c r="AN14" s="63"/>
      <c r="AO14" s="63"/>
    </row>
    <row r="15">
      <c r="A15" s="56"/>
      <c r="B15" s="911"/>
      <c r="C15" s="911"/>
      <c r="D15" s="911"/>
      <c r="E15" s="911"/>
      <c r="F15" s="911"/>
      <c r="G15" s="911"/>
      <c r="H15" s="911"/>
      <c r="I15" s="911"/>
      <c r="J15" s="911"/>
      <c r="K15" s="911"/>
      <c r="L15" s="911"/>
      <c r="M15" s="911"/>
      <c r="N15" s="911"/>
      <c r="O15" s="911"/>
      <c r="P15" s="911"/>
      <c r="Q15" s="911"/>
      <c r="R15" s="911"/>
      <c r="S15" s="911"/>
      <c r="T15" s="911"/>
      <c r="U15" s="911"/>
      <c r="V15" s="911"/>
      <c r="W15" s="911"/>
      <c r="X15" s="911"/>
      <c r="Y15" s="911"/>
      <c r="Z15" s="63"/>
      <c r="AA15" s="63"/>
      <c r="AB15" s="63"/>
      <c r="AC15" s="63"/>
      <c r="AD15" s="63"/>
      <c r="AE15" s="63"/>
      <c r="AF15" s="63"/>
      <c r="AG15" s="63"/>
      <c r="AH15" s="63"/>
      <c r="AI15" s="63"/>
      <c r="AJ15" s="63"/>
      <c r="AK15" s="63"/>
      <c r="AL15" s="63"/>
      <c r="AM15" s="63"/>
      <c r="AN15" s="63"/>
      <c r="AO15" s="63"/>
    </row>
    <row r="16">
      <c r="A16" s="65" t="s">
        <v>28</v>
      </c>
      <c r="B16" s="912"/>
      <c r="C16" s="912"/>
      <c r="D16" s="912"/>
      <c r="E16" s="912"/>
      <c r="F16" s="912"/>
      <c r="G16" s="912"/>
      <c r="H16" s="912"/>
      <c r="I16" s="912"/>
      <c r="J16" s="912"/>
      <c r="K16" s="912"/>
      <c r="L16" s="912"/>
      <c r="M16" s="912"/>
      <c r="N16" s="912"/>
      <c r="O16" s="912"/>
      <c r="P16" s="912"/>
      <c r="Q16" s="912"/>
      <c r="R16" s="913"/>
      <c r="S16" s="912"/>
      <c r="T16" s="914"/>
      <c r="U16" s="912"/>
      <c r="V16" s="912"/>
      <c r="W16" s="912"/>
      <c r="X16" s="912"/>
      <c r="Y16" s="912"/>
      <c r="Z16" s="63"/>
      <c r="AA16" s="63"/>
      <c r="AB16" s="63"/>
      <c r="AC16" s="63"/>
      <c r="AD16" s="63"/>
      <c r="AE16" s="63"/>
      <c r="AF16" s="63"/>
      <c r="AG16" s="63"/>
      <c r="AH16" s="63"/>
      <c r="AI16" s="63"/>
      <c r="AJ16" s="63"/>
      <c r="AK16" s="63"/>
      <c r="AL16" s="63"/>
      <c r="AM16" s="63"/>
      <c r="AN16" s="63"/>
      <c r="AO16" s="63"/>
    </row>
    <row r="17">
      <c r="A17" s="65" t="s">
        <v>29</v>
      </c>
      <c r="B17" s="912"/>
      <c r="C17" s="912"/>
      <c r="D17" s="912"/>
      <c r="E17" s="912"/>
      <c r="F17" s="912"/>
      <c r="G17" s="912"/>
      <c r="H17" s="912"/>
      <c r="I17" s="912"/>
      <c r="J17" s="912"/>
      <c r="K17" s="912"/>
      <c r="L17" s="912"/>
      <c r="M17" s="912"/>
      <c r="N17" s="912"/>
      <c r="O17" s="912"/>
      <c r="P17" s="912"/>
      <c r="Q17" s="912"/>
      <c r="R17" s="913"/>
      <c r="S17" s="912"/>
      <c r="T17" s="914"/>
      <c r="U17" s="912"/>
      <c r="V17" s="912"/>
      <c r="W17" s="912"/>
      <c r="X17" s="912"/>
      <c r="Y17" s="912"/>
      <c r="Z17" s="63"/>
      <c r="AA17" s="63"/>
      <c r="AB17" s="63"/>
      <c r="AC17" s="63"/>
      <c r="AD17" s="63"/>
      <c r="AE17" s="63"/>
      <c r="AF17" s="63"/>
      <c r="AG17" s="63"/>
      <c r="AH17" s="63"/>
      <c r="AI17" s="63"/>
      <c r="AJ17" s="63"/>
      <c r="AK17" s="63"/>
      <c r="AL17" s="63"/>
      <c r="AM17" s="63"/>
      <c r="AN17" s="63"/>
      <c r="AO17" s="63"/>
    </row>
    <row r="18">
      <c r="A18" s="69" t="s">
        <v>30</v>
      </c>
      <c r="B18" s="915">
        <v>100.0</v>
      </c>
      <c r="C18" s="915">
        <v>101.0</v>
      </c>
      <c r="D18" s="915">
        <v>140.0</v>
      </c>
      <c r="E18" s="915">
        <v>109.0</v>
      </c>
      <c r="F18" s="915">
        <v>131.0</v>
      </c>
      <c r="G18" s="915">
        <v>122.0</v>
      </c>
      <c r="H18" s="915">
        <v>166.0</v>
      </c>
      <c r="I18" s="915">
        <v>150.0</v>
      </c>
      <c r="J18" s="915">
        <v>124.0</v>
      </c>
      <c r="K18" s="915">
        <f>173+13+5</f>
        <v>191</v>
      </c>
      <c r="L18" s="915">
        <v>141.0</v>
      </c>
      <c r="M18" s="915">
        <v>98.0</v>
      </c>
      <c r="N18" s="915">
        <v>117.0</v>
      </c>
      <c r="O18" s="915">
        <v>132.0</v>
      </c>
      <c r="P18" s="915">
        <v>172.0</v>
      </c>
      <c r="Q18" s="915">
        <v>134.0</v>
      </c>
      <c r="R18" s="915">
        <v>164.0</v>
      </c>
      <c r="S18" s="915">
        <v>112.0</v>
      </c>
      <c r="T18" s="915">
        <v>0.0</v>
      </c>
      <c r="U18" s="915">
        <v>0.0</v>
      </c>
      <c r="V18" s="915">
        <v>0.0</v>
      </c>
      <c r="W18" s="915">
        <v>0.0</v>
      </c>
      <c r="X18" s="915">
        <v>0.0</v>
      </c>
      <c r="Y18" s="915">
        <v>0.0</v>
      </c>
      <c r="Z18" s="70"/>
      <c r="AA18" s="70"/>
      <c r="AB18" s="70"/>
      <c r="AC18" s="70"/>
      <c r="AD18" s="70"/>
      <c r="AE18" s="70"/>
      <c r="AF18" s="70"/>
      <c r="AG18" s="70"/>
      <c r="AH18" s="70"/>
      <c r="AI18" s="70"/>
      <c r="AJ18" s="70"/>
      <c r="AK18" s="70"/>
      <c r="AL18" s="70"/>
      <c r="AM18" s="70"/>
      <c r="AN18" s="70"/>
      <c r="AO18" s="70"/>
    </row>
    <row r="19">
      <c r="A19" s="74" t="s">
        <v>31</v>
      </c>
      <c r="B19" s="915">
        <f>SUM(B49:B52)</f>
        <v>147</v>
      </c>
      <c r="C19" s="915">
        <v>109.0</v>
      </c>
      <c r="D19" s="915">
        <f>SUM(D49:D52)</f>
        <v>174</v>
      </c>
      <c r="E19" s="915">
        <f t="shared" ref="E19:G19" si="10">SUM(E49:E58)</f>
        <v>220</v>
      </c>
      <c r="F19" s="915">
        <f t="shared" si="10"/>
        <v>268</v>
      </c>
      <c r="G19" s="915">
        <f t="shared" si="10"/>
        <v>268</v>
      </c>
      <c r="H19" s="915">
        <v>237.0</v>
      </c>
      <c r="I19" s="915">
        <v>341.0</v>
      </c>
      <c r="J19" s="915">
        <v>186.0</v>
      </c>
      <c r="K19" s="915">
        <f>SUM(K49:K58)</f>
        <v>296</v>
      </c>
      <c r="L19" s="915">
        <v>249.0</v>
      </c>
      <c r="M19" s="915">
        <v>239.0</v>
      </c>
      <c r="N19" s="915">
        <v>223.0</v>
      </c>
      <c r="O19" s="915">
        <v>161.0</v>
      </c>
      <c r="P19" s="915">
        <f t="shared" ref="P19:Q19" si="11">SUM(P49:P58)</f>
        <v>248</v>
      </c>
      <c r="Q19" s="915">
        <f t="shared" si="11"/>
        <v>226</v>
      </c>
      <c r="R19" s="915">
        <v>211.0</v>
      </c>
      <c r="S19" s="915">
        <v>188.0</v>
      </c>
      <c r="T19" s="915">
        <f t="shared" ref="T19:Y19" si="12">SUM(T49:T58)</f>
        <v>0</v>
      </c>
      <c r="U19" s="915">
        <f t="shared" si="12"/>
        <v>0</v>
      </c>
      <c r="V19" s="915">
        <f t="shared" si="12"/>
        <v>0</v>
      </c>
      <c r="W19" s="915">
        <f t="shared" si="12"/>
        <v>0</v>
      </c>
      <c r="X19" s="915">
        <f t="shared" si="12"/>
        <v>0</v>
      </c>
      <c r="Y19" s="915">
        <f t="shared" si="12"/>
        <v>0</v>
      </c>
      <c r="Z19" s="70"/>
      <c r="AA19" s="70"/>
      <c r="AB19" s="70"/>
      <c r="AC19" s="70"/>
      <c r="AD19" s="70"/>
      <c r="AE19" s="70"/>
      <c r="AF19" s="70"/>
      <c r="AG19" s="70"/>
      <c r="AH19" s="70"/>
      <c r="AI19" s="70"/>
      <c r="AJ19" s="70"/>
      <c r="AK19" s="70"/>
      <c r="AL19" s="70"/>
      <c r="AM19" s="70"/>
      <c r="AN19" s="70"/>
      <c r="AO19" s="70"/>
    </row>
    <row r="20">
      <c r="A20" s="69" t="s">
        <v>32</v>
      </c>
      <c r="B20" s="915">
        <v>27.0</v>
      </c>
      <c r="C20" s="915">
        <v>31.0</v>
      </c>
      <c r="D20" s="915">
        <v>72.0</v>
      </c>
      <c r="E20" s="915">
        <v>30.0</v>
      </c>
      <c r="F20" s="915">
        <v>26.0</v>
      </c>
      <c r="G20" s="915">
        <v>69.0</v>
      </c>
      <c r="H20" s="915">
        <v>106.0</v>
      </c>
      <c r="I20" s="915">
        <v>68.0</v>
      </c>
      <c r="J20" s="915">
        <v>81.0</v>
      </c>
      <c r="K20" s="915">
        <v>57.0</v>
      </c>
      <c r="L20" s="915">
        <v>89.0</v>
      </c>
      <c r="M20" s="915">
        <v>37.0</v>
      </c>
      <c r="N20" s="915">
        <v>44.0</v>
      </c>
      <c r="O20" s="915">
        <v>85.0</v>
      </c>
      <c r="P20" s="915">
        <v>172.0</v>
      </c>
      <c r="Q20" s="915">
        <v>123.0</v>
      </c>
      <c r="R20" s="915">
        <v>141.0</v>
      </c>
      <c r="S20" s="915">
        <v>74.0</v>
      </c>
      <c r="T20" s="915"/>
      <c r="U20" s="915"/>
      <c r="V20" s="915"/>
      <c r="W20" s="915"/>
      <c r="X20" s="915"/>
      <c r="Y20" s="915"/>
      <c r="Z20" s="70"/>
      <c r="AA20" s="70"/>
      <c r="AB20" s="70"/>
      <c r="AC20" s="70"/>
      <c r="AD20" s="70"/>
      <c r="AE20" s="70"/>
      <c r="AF20" s="70"/>
      <c r="AG20" s="70"/>
      <c r="AH20" s="70"/>
      <c r="AI20" s="70"/>
      <c r="AJ20" s="70"/>
      <c r="AK20" s="70"/>
      <c r="AL20" s="70"/>
      <c r="AM20" s="70"/>
      <c r="AN20" s="70"/>
      <c r="AO20" s="70"/>
    </row>
    <row r="21">
      <c r="A21" s="79" t="s">
        <v>33</v>
      </c>
      <c r="B21" s="916">
        <f t="shared" ref="B21:H21" si="13">B7-B19</f>
        <v>12</v>
      </c>
      <c r="C21" s="916">
        <f t="shared" si="13"/>
        <v>38</v>
      </c>
      <c r="D21" s="916">
        <f t="shared" si="13"/>
        <v>15</v>
      </c>
      <c r="E21" s="916">
        <f t="shared" si="13"/>
        <v>20</v>
      </c>
      <c r="F21" s="916">
        <f t="shared" si="13"/>
        <v>41</v>
      </c>
      <c r="G21" s="916">
        <f t="shared" si="13"/>
        <v>72</v>
      </c>
      <c r="H21" s="916">
        <f t="shared" si="13"/>
        <v>93</v>
      </c>
      <c r="I21" s="916">
        <v>53.0</v>
      </c>
      <c r="J21" s="916">
        <v>98.0</v>
      </c>
      <c r="K21" s="916">
        <f t="shared" ref="K21:L21" si="14">K7-K19</f>
        <v>103</v>
      </c>
      <c r="L21" s="916">
        <f t="shared" si="14"/>
        <v>105</v>
      </c>
      <c r="M21" s="916">
        <v>56.0</v>
      </c>
      <c r="N21" s="916">
        <f t="shared" ref="N21:Q21" si="15">N7-N19</f>
        <v>65</v>
      </c>
      <c r="O21" s="916">
        <f t="shared" si="15"/>
        <v>29</v>
      </c>
      <c r="P21" s="916">
        <f t="shared" si="15"/>
        <v>40</v>
      </c>
      <c r="Q21" s="916">
        <f t="shared" si="15"/>
        <v>71</v>
      </c>
      <c r="R21" s="916">
        <v>68.0</v>
      </c>
      <c r="S21" s="916">
        <f t="shared" ref="S21:Y21" si="16">S7-S19</f>
        <v>68</v>
      </c>
      <c r="T21" s="916">
        <f t="shared" si="16"/>
        <v>244</v>
      </c>
      <c r="U21" s="916">
        <f t="shared" si="16"/>
        <v>0</v>
      </c>
      <c r="V21" s="916">
        <f t="shared" si="16"/>
        <v>0</v>
      </c>
      <c r="W21" s="916">
        <f t="shared" si="16"/>
        <v>0</v>
      </c>
      <c r="X21" s="916">
        <f t="shared" si="16"/>
        <v>0</v>
      </c>
      <c r="Y21" s="916">
        <f t="shared" si="16"/>
        <v>0</v>
      </c>
      <c r="Z21" s="80"/>
      <c r="AA21" s="80"/>
      <c r="AB21" s="80"/>
      <c r="AC21" s="80"/>
      <c r="AD21" s="80"/>
      <c r="AE21" s="80"/>
      <c r="AF21" s="80"/>
      <c r="AG21" s="80"/>
      <c r="AH21" s="80"/>
      <c r="AI21" s="80"/>
      <c r="AJ21" s="80"/>
      <c r="AK21" s="80"/>
      <c r="AL21" s="80"/>
      <c r="AM21" s="80"/>
      <c r="AN21" s="80"/>
      <c r="AO21" s="80"/>
    </row>
    <row r="22">
      <c r="A22" s="82" t="s">
        <v>34</v>
      </c>
      <c r="B22" s="83"/>
      <c r="C22" s="83"/>
      <c r="D22" s="84"/>
      <c r="E22" s="84"/>
      <c r="F22" s="84"/>
      <c r="G22" s="84"/>
      <c r="H22" s="84"/>
      <c r="I22" s="917"/>
      <c r="J22" s="84"/>
      <c r="K22" s="84"/>
      <c r="L22" s="84"/>
      <c r="M22" s="84"/>
      <c r="N22" s="84"/>
      <c r="O22" s="69"/>
      <c r="P22" s="85"/>
      <c r="Q22" s="85"/>
      <c r="R22" s="85"/>
      <c r="S22" s="278"/>
      <c r="T22" s="85"/>
      <c r="U22" s="85"/>
      <c r="V22" s="85"/>
      <c r="W22" s="85"/>
      <c r="X22" s="85"/>
      <c r="Y22" s="87"/>
      <c r="Z22" s="87"/>
      <c r="AA22" s="87"/>
      <c r="AB22" s="87"/>
      <c r="AC22" s="87"/>
      <c r="AD22" s="87"/>
      <c r="AE22" s="87"/>
      <c r="AF22" s="87"/>
      <c r="AG22" s="87"/>
      <c r="AH22" s="87"/>
      <c r="AI22" s="87"/>
      <c r="AJ22" s="87"/>
      <c r="AK22" s="87"/>
      <c r="AL22" s="87"/>
      <c r="AM22" s="87"/>
      <c r="AN22" s="87"/>
      <c r="AO22" s="87"/>
    </row>
    <row r="23" ht="81.75" customHeight="1">
      <c r="A23" s="918" t="s">
        <v>35</v>
      </c>
      <c r="B23" s="919" t="s">
        <v>1599</v>
      </c>
      <c r="C23" s="919" t="s">
        <v>1600</v>
      </c>
      <c r="D23" s="919" t="s">
        <v>1601</v>
      </c>
      <c r="E23" s="919" t="s">
        <v>1602</v>
      </c>
      <c r="F23" s="920" t="s">
        <v>1603</v>
      </c>
      <c r="G23" s="919" t="s">
        <v>1604</v>
      </c>
      <c r="H23" s="919" t="s">
        <v>1605</v>
      </c>
      <c r="I23" s="919" t="s">
        <v>1606</v>
      </c>
      <c r="J23" s="921" t="s">
        <v>1607</v>
      </c>
      <c r="K23" s="921" t="s">
        <v>1608</v>
      </c>
      <c r="L23" s="922" t="s">
        <v>1609</v>
      </c>
      <c r="M23" s="922" t="s">
        <v>1610</v>
      </c>
      <c r="N23" s="920" t="s">
        <v>1611</v>
      </c>
      <c r="O23" s="922" t="s">
        <v>1612</v>
      </c>
      <c r="P23" s="922" t="s">
        <v>1613</v>
      </c>
      <c r="Q23" s="922" t="s">
        <v>1614</v>
      </c>
      <c r="R23" s="920" t="s">
        <v>1615</v>
      </c>
      <c r="S23" s="920" t="s">
        <v>1616</v>
      </c>
      <c r="T23" s="923" t="s">
        <v>1617</v>
      </c>
      <c r="U23" s="923"/>
      <c r="V23" s="923"/>
      <c r="W23" s="923"/>
      <c r="X23" s="923"/>
      <c r="Y23" s="923"/>
      <c r="Z23" s="94"/>
      <c r="AA23" s="94"/>
      <c r="AB23" s="94"/>
      <c r="AC23" s="94"/>
      <c r="AD23" s="94"/>
      <c r="AE23" s="94"/>
      <c r="AF23" s="94"/>
      <c r="AG23" s="94"/>
      <c r="AH23" s="94"/>
      <c r="AI23" s="94"/>
      <c r="AJ23" s="94"/>
      <c r="AK23" s="94"/>
      <c r="AL23" s="94"/>
      <c r="AM23" s="94"/>
      <c r="AN23" s="94"/>
      <c r="AO23" s="94"/>
    </row>
    <row r="24">
      <c r="A24" s="924" t="s">
        <v>36</v>
      </c>
      <c r="B24" s="97">
        <v>1.0</v>
      </c>
      <c r="C24" s="97">
        <v>1.0</v>
      </c>
      <c r="D24" s="97">
        <v>1.0</v>
      </c>
      <c r="E24" s="97">
        <v>1.0</v>
      </c>
      <c r="F24" s="97">
        <v>0.0</v>
      </c>
      <c r="G24" s="97">
        <v>1.0</v>
      </c>
      <c r="H24" s="97">
        <v>1.0</v>
      </c>
      <c r="I24" s="925">
        <v>1.0</v>
      </c>
      <c r="J24" s="98">
        <v>0.0</v>
      </c>
      <c r="K24" s="97">
        <v>0.0</v>
      </c>
      <c r="L24" s="97">
        <v>1.0</v>
      </c>
      <c r="M24" s="97">
        <v>1.0</v>
      </c>
      <c r="N24" s="98">
        <v>0.0</v>
      </c>
      <c r="O24" s="97">
        <v>1.0</v>
      </c>
      <c r="P24" s="97">
        <v>1.0</v>
      </c>
      <c r="Q24" s="97">
        <v>1.0</v>
      </c>
      <c r="R24" s="98">
        <v>0.0</v>
      </c>
      <c r="S24" s="98">
        <v>0.0</v>
      </c>
      <c r="T24" s="98">
        <v>0.0</v>
      </c>
      <c r="U24" s="98">
        <v>0.0</v>
      </c>
      <c r="V24" s="98">
        <v>0.0</v>
      </c>
      <c r="W24" s="98">
        <v>0.0</v>
      </c>
      <c r="X24" s="98">
        <v>0.0</v>
      </c>
      <c r="Y24" s="98">
        <v>0.0</v>
      </c>
      <c r="Z24" s="94"/>
      <c r="AA24" s="94"/>
      <c r="AB24" s="94"/>
      <c r="AC24" s="94"/>
      <c r="AD24" s="94"/>
      <c r="AE24" s="94"/>
      <c r="AF24" s="94"/>
      <c r="AG24" s="94"/>
      <c r="AH24" s="94"/>
      <c r="AI24" s="94"/>
      <c r="AJ24" s="94"/>
      <c r="AK24" s="94"/>
      <c r="AL24" s="94"/>
      <c r="AM24" s="94"/>
      <c r="AN24" s="94"/>
      <c r="AO24" s="94"/>
    </row>
    <row r="25">
      <c r="A25" s="926" t="s">
        <v>37</v>
      </c>
      <c r="B25" s="927">
        <f t="shared" ref="B25:Y25" si="17">IFERROR(B19/B8, 0)</f>
        <v>1.020833333</v>
      </c>
      <c r="C25" s="927">
        <f t="shared" si="17"/>
        <v>0.7898550725</v>
      </c>
      <c r="D25" s="927">
        <f t="shared" si="17"/>
        <v>1.06097561</v>
      </c>
      <c r="E25" s="927">
        <f t="shared" si="17"/>
        <v>0.9691629956</v>
      </c>
      <c r="F25" s="927">
        <f t="shared" si="17"/>
        <v>0.8933333333</v>
      </c>
      <c r="G25" s="927">
        <f t="shared" si="17"/>
        <v>0.8246153846</v>
      </c>
      <c r="H25" s="927">
        <f t="shared" si="17"/>
        <v>1.107476636</v>
      </c>
      <c r="I25" s="927">
        <f t="shared" si="17"/>
        <v>0.9970760234</v>
      </c>
      <c r="J25" s="927">
        <f t="shared" si="17"/>
        <v>0.7072243346</v>
      </c>
      <c r="K25" s="927">
        <f t="shared" si="17"/>
        <v>0.7935656836</v>
      </c>
      <c r="L25" s="927">
        <f t="shared" si="17"/>
        <v>0.7366863905</v>
      </c>
      <c r="M25" s="927">
        <f t="shared" si="17"/>
        <v>0.8385964912</v>
      </c>
      <c r="N25" s="927">
        <f t="shared" si="17"/>
        <v>0.7964285714</v>
      </c>
      <c r="O25" s="927">
        <f t="shared" si="17"/>
        <v>0.9252873563</v>
      </c>
      <c r="P25" s="927">
        <f t="shared" si="17"/>
        <v>0.9288389513</v>
      </c>
      <c r="Q25" s="927">
        <f t="shared" si="17"/>
        <v>0.918699187</v>
      </c>
      <c r="R25" s="927">
        <f t="shared" si="17"/>
        <v>0.9094827586</v>
      </c>
      <c r="S25" s="927">
        <f t="shared" si="17"/>
        <v>0.8281938326</v>
      </c>
      <c r="T25" s="927">
        <f t="shared" si="17"/>
        <v>0</v>
      </c>
      <c r="U25" s="927">
        <f t="shared" si="17"/>
        <v>0</v>
      </c>
      <c r="V25" s="927">
        <f t="shared" si="17"/>
        <v>0</v>
      </c>
      <c r="W25" s="927">
        <f t="shared" si="17"/>
        <v>0</v>
      </c>
      <c r="X25" s="927">
        <f t="shared" si="17"/>
        <v>0</v>
      </c>
      <c r="Y25" s="927">
        <f t="shared" si="17"/>
        <v>0</v>
      </c>
      <c r="Z25" s="94"/>
      <c r="AA25" s="94"/>
      <c r="AB25" s="94"/>
      <c r="AC25" s="94"/>
      <c r="AD25" s="94"/>
      <c r="AE25" s="94"/>
      <c r="AF25" s="94"/>
      <c r="AG25" s="94"/>
      <c r="AH25" s="94"/>
      <c r="AI25" s="94"/>
      <c r="AJ25" s="94"/>
      <c r="AK25" s="94"/>
      <c r="AL25" s="94"/>
      <c r="AM25" s="94"/>
      <c r="AN25" s="94"/>
      <c r="AO25" s="94"/>
    </row>
    <row r="26">
      <c r="A26" s="928" t="s">
        <v>38</v>
      </c>
      <c r="B26" s="929">
        <f t="shared" ref="B26:Y26" si="18">IFERROR(B12/B18, 0)</f>
        <v>0.16</v>
      </c>
      <c r="C26" s="929">
        <f t="shared" si="18"/>
        <v>0.1881188119</v>
      </c>
      <c r="D26" s="929">
        <f t="shared" si="18"/>
        <v>0.2071428571</v>
      </c>
      <c r="E26" s="929">
        <f t="shared" si="18"/>
        <v>0.1559633028</v>
      </c>
      <c r="F26" s="929">
        <f t="shared" si="18"/>
        <v>0.2366412214</v>
      </c>
      <c r="G26" s="929">
        <f t="shared" si="18"/>
        <v>0.2540983607</v>
      </c>
      <c r="H26" s="929">
        <f t="shared" si="18"/>
        <v>0.4036144578</v>
      </c>
      <c r="I26" s="929">
        <f t="shared" si="18"/>
        <v>0.2333333333</v>
      </c>
      <c r="J26" s="929">
        <f t="shared" si="18"/>
        <v>0.1693548387</v>
      </c>
      <c r="K26" s="929">
        <f t="shared" si="18"/>
        <v>0.1832460733</v>
      </c>
      <c r="L26" s="929">
        <f t="shared" si="18"/>
        <v>0.1205673759</v>
      </c>
      <c r="M26" s="929">
        <f t="shared" si="18"/>
        <v>0.08163265306</v>
      </c>
      <c r="N26" s="929">
        <f t="shared" si="18"/>
        <v>0</v>
      </c>
      <c r="O26" s="929">
        <f t="shared" si="18"/>
        <v>0.09090909091</v>
      </c>
      <c r="P26" s="929">
        <f t="shared" si="18"/>
        <v>0.05813953488</v>
      </c>
      <c r="Q26" s="929">
        <f t="shared" si="18"/>
        <v>0.1940298507</v>
      </c>
      <c r="R26" s="929">
        <f t="shared" si="18"/>
        <v>0.05487804878</v>
      </c>
      <c r="S26" s="929">
        <f t="shared" si="18"/>
        <v>0.08928571429</v>
      </c>
      <c r="T26" s="929">
        <f t="shared" si="18"/>
        <v>0</v>
      </c>
      <c r="U26" s="929">
        <f t="shared" si="18"/>
        <v>0</v>
      </c>
      <c r="V26" s="929">
        <f t="shared" si="18"/>
        <v>0</v>
      </c>
      <c r="W26" s="929">
        <f t="shared" si="18"/>
        <v>0</v>
      </c>
      <c r="X26" s="929">
        <f t="shared" si="18"/>
        <v>0</v>
      </c>
      <c r="Y26" s="929">
        <f t="shared" si="18"/>
        <v>0</v>
      </c>
      <c r="Z26" s="94"/>
      <c r="AA26" s="94"/>
      <c r="AB26" s="94"/>
      <c r="AC26" s="94"/>
      <c r="AD26" s="94"/>
      <c r="AE26" s="94"/>
      <c r="AF26" s="94"/>
      <c r="AG26" s="94"/>
      <c r="AH26" s="94"/>
      <c r="AI26" s="94"/>
      <c r="AJ26" s="94"/>
      <c r="AK26" s="94"/>
      <c r="AL26" s="94"/>
      <c r="AM26" s="94"/>
      <c r="AN26" s="94"/>
      <c r="AO26" s="94"/>
    </row>
    <row r="27">
      <c r="A27" s="930" t="s">
        <v>39</v>
      </c>
      <c r="B27" s="931">
        <f t="shared" ref="B27:Y27" si="19">IFERROR(B20/B18, 0)</f>
        <v>0.27</v>
      </c>
      <c r="C27" s="931">
        <f t="shared" si="19"/>
        <v>0.3069306931</v>
      </c>
      <c r="D27" s="931">
        <f t="shared" si="19"/>
        <v>0.5142857143</v>
      </c>
      <c r="E27" s="931">
        <f t="shared" si="19"/>
        <v>0.2752293578</v>
      </c>
      <c r="F27" s="931">
        <f t="shared" si="19"/>
        <v>0.1984732824</v>
      </c>
      <c r="G27" s="931">
        <f t="shared" si="19"/>
        <v>0.5655737705</v>
      </c>
      <c r="H27" s="931">
        <f t="shared" si="19"/>
        <v>0.6385542169</v>
      </c>
      <c r="I27" s="931">
        <f t="shared" si="19"/>
        <v>0.4533333333</v>
      </c>
      <c r="J27" s="931">
        <f t="shared" si="19"/>
        <v>0.6532258065</v>
      </c>
      <c r="K27" s="931">
        <f t="shared" si="19"/>
        <v>0.2984293194</v>
      </c>
      <c r="L27" s="931">
        <f t="shared" si="19"/>
        <v>0.6312056738</v>
      </c>
      <c r="M27" s="931">
        <f t="shared" si="19"/>
        <v>0.3775510204</v>
      </c>
      <c r="N27" s="931">
        <f t="shared" si="19"/>
        <v>0.3760683761</v>
      </c>
      <c r="O27" s="931">
        <f t="shared" si="19"/>
        <v>0.6439393939</v>
      </c>
      <c r="P27" s="931">
        <f t="shared" si="19"/>
        <v>1</v>
      </c>
      <c r="Q27" s="931">
        <f t="shared" si="19"/>
        <v>0.9179104478</v>
      </c>
      <c r="R27" s="931">
        <f t="shared" si="19"/>
        <v>0.8597560976</v>
      </c>
      <c r="S27" s="931">
        <f t="shared" si="19"/>
        <v>0.6607142857</v>
      </c>
      <c r="T27" s="931">
        <f t="shared" si="19"/>
        <v>0</v>
      </c>
      <c r="U27" s="931">
        <f t="shared" si="19"/>
        <v>0</v>
      </c>
      <c r="V27" s="931">
        <f t="shared" si="19"/>
        <v>0</v>
      </c>
      <c r="W27" s="931">
        <f t="shared" si="19"/>
        <v>0</v>
      </c>
      <c r="X27" s="931">
        <f t="shared" si="19"/>
        <v>0</v>
      </c>
      <c r="Y27" s="931">
        <f t="shared" si="19"/>
        <v>0</v>
      </c>
      <c r="Z27" s="94"/>
      <c r="AA27" s="94"/>
      <c r="AB27" s="94"/>
      <c r="AC27" s="94"/>
      <c r="AD27" s="94"/>
      <c r="AE27" s="94"/>
      <c r="AF27" s="94"/>
      <c r="AG27" s="94"/>
      <c r="AH27" s="94"/>
      <c r="AI27" s="94"/>
      <c r="AJ27" s="94"/>
      <c r="AK27" s="94"/>
      <c r="AL27" s="94"/>
      <c r="AM27" s="94"/>
      <c r="AN27" s="94"/>
      <c r="AO27" s="94"/>
    </row>
    <row r="28">
      <c r="A28" s="932" t="s">
        <v>40</v>
      </c>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4"/>
      <c r="AA28" s="94"/>
      <c r="AB28" s="94"/>
      <c r="AC28" s="94"/>
      <c r="AD28" s="94"/>
      <c r="AE28" s="94"/>
      <c r="AF28" s="94"/>
      <c r="AG28" s="94"/>
      <c r="AH28" s="94"/>
      <c r="AI28" s="94"/>
      <c r="AJ28" s="94"/>
      <c r="AK28" s="94"/>
      <c r="AL28" s="94"/>
      <c r="AM28" s="94"/>
      <c r="AN28" s="94"/>
      <c r="AO28" s="94"/>
    </row>
    <row r="29">
      <c r="A29" s="934" t="s">
        <v>41</v>
      </c>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94"/>
      <c r="AA29" s="94"/>
      <c r="AB29" s="94"/>
      <c r="AC29" s="94"/>
      <c r="AD29" s="94"/>
      <c r="AE29" s="94"/>
      <c r="AF29" s="94"/>
      <c r="AG29" s="94"/>
      <c r="AH29" s="94"/>
      <c r="AI29" s="94"/>
      <c r="AJ29" s="94"/>
      <c r="AK29" s="94"/>
      <c r="AL29" s="94"/>
      <c r="AM29" s="94"/>
      <c r="AN29" s="94"/>
      <c r="AO29" s="94"/>
    </row>
    <row r="30">
      <c r="A30" s="184" t="s">
        <v>141</v>
      </c>
      <c r="B30" s="240"/>
      <c r="C30" s="240"/>
      <c r="D30" s="240"/>
      <c r="E30" s="240"/>
      <c r="F30" s="240"/>
      <c r="G30" s="240"/>
      <c r="H30" s="240"/>
      <c r="I30" s="240"/>
      <c r="J30" s="240"/>
      <c r="K30" s="240"/>
      <c r="L30" s="240"/>
      <c r="M30" s="864">
        <f t="shared" ref="M30:Y30" si="20">M59/M8</f>
        <v>0</v>
      </c>
      <c r="N30" s="864">
        <f t="shared" si="20"/>
        <v>0</v>
      </c>
      <c r="O30" s="864">
        <f t="shared" si="20"/>
        <v>0</v>
      </c>
      <c r="P30" s="864">
        <f t="shared" si="20"/>
        <v>0</v>
      </c>
      <c r="Q30" s="864">
        <f t="shared" si="20"/>
        <v>0</v>
      </c>
      <c r="R30" s="864">
        <f t="shared" si="20"/>
        <v>0</v>
      </c>
      <c r="S30" s="864">
        <f t="shared" si="20"/>
        <v>0</v>
      </c>
      <c r="T30" s="864">
        <f t="shared" si="20"/>
        <v>0</v>
      </c>
      <c r="U30" s="864" t="str">
        <f t="shared" si="20"/>
        <v>#DIV/0!</v>
      </c>
      <c r="V30" s="864" t="str">
        <f t="shared" si="20"/>
        <v>#DIV/0!</v>
      </c>
      <c r="W30" s="864" t="str">
        <f t="shared" si="20"/>
        <v>#DIV/0!</v>
      </c>
      <c r="X30" s="864" t="str">
        <f t="shared" si="20"/>
        <v>#DIV/0!</v>
      </c>
      <c r="Y30" s="864" t="str">
        <f t="shared" si="20"/>
        <v>#DIV/0!</v>
      </c>
      <c r="Z30" s="240"/>
      <c r="AA30" s="240"/>
      <c r="AB30" s="240"/>
      <c r="AC30" s="186"/>
      <c r="AD30" s="186"/>
      <c r="AE30" s="186"/>
      <c r="AF30" s="186"/>
      <c r="AG30" s="186"/>
      <c r="AH30" s="186"/>
      <c r="AI30" s="186"/>
      <c r="AJ30" s="186"/>
      <c r="AK30" s="186"/>
      <c r="AL30" s="186"/>
      <c r="AM30" s="186"/>
      <c r="AN30" s="186"/>
      <c r="AO30" s="186"/>
    </row>
    <row r="31">
      <c r="A31" s="935" t="s">
        <v>42</v>
      </c>
      <c r="B31" s="936">
        <v>0.125</v>
      </c>
      <c r="C31" s="936">
        <v>0.094</v>
      </c>
      <c r="D31" s="936">
        <v>0.44</v>
      </c>
      <c r="E31" s="936">
        <v>0.46</v>
      </c>
      <c r="F31" s="936">
        <v>0.2</v>
      </c>
      <c r="G31" s="936">
        <v>0.3</v>
      </c>
      <c r="H31" s="936">
        <v>0.41</v>
      </c>
      <c r="I31" s="936">
        <v>0.31</v>
      </c>
      <c r="J31" s="936">
        <v>0.18</v>
      </c>
      <c r="K31" s="936">
        <v>0.14</v>
      </c>
      <c r="L31" s="936">
        <v>0.27</v>
      </c>
      <c r="M31" s="936">
        <v>0.36</v>
      </c>
      <c r="N31" s="936">
        <v>0.53</v>
      </c>
      <c r="O31" s="936">
        <v>0.51</v>
      </c>
      <c r="P31" s="936">
        <v>0.5</v>
      </c>
      <c r="Q31" s="936">
        <v>0.32</v>
      </c>
      <c r="R31" s="936">
        <v>0.48</v>
      </c>
      <c r="S31" s="936">
        <v>0.34</v>
      </c>
      <c r="T31" s="936">
        <v>0.29</v>
      </c>
      <c r="U31" s="864">
        <v>0.0</v>
      </c>
      <c r="V31" s="864">
        <v>0.0</v>
      </c>
      <c r="W31" s="864">
        <v>0.0</v>
      </c>
      <c r="X31" s="864">
        <v>0.0</v>
      </c>
      <c r="Y31" s="864">
        <v>0.0</v>
      </c>
      <c r="Z31" s="94"/>
      <c r="AA31" s="94"/>
      <c r="AB31" s="94"/>
      <c r="AC31" s="94"/>
      <c r="AD31" s="94"/>
      <c r="AE31" s="94"/>
      <c r="AF31" s="94"/>
      <c r="AG31" s="94"/>
      <c r="AH31" s="94"/>
      <c r="AI31" s="94"/>
      <c r="AJ31" s="94"/>
      <c r="AK31" s="94"/>
      <c r="AL31" s="94"/>
      <c r="AM31" s="94"/>
      <c r="AN31" s="94"/>
      <c r="AO31" s="94"/>
    </row>
    <row r="32">
      <c r="A32" s="937" t="s">
        <v>43</v>
      </c>
      <c r="B32" s="185">
        <v>1.0</v>
      </c>
      <c r="C32" s="191">
        <v>1.0</v>
      </c>
      <c r="D32" s="191">
        <v>1.0</v>
      </c>
      <c r="E32" s="191">
        <v>1.0</v>
      </c>
      <c r="F32" s="191">
        <v>1.0</v>
      </c>
      <c r="G32" s="191">
        <v>1.0</v>
      </c>
      <c r="H32" s="191">
        <v>1.0</v>
      </c>
      <c r="I32" s="936">
        <v>1.0</v>
      </c>
      <c r="J32" s="191">
        <v>1.0</v>
      </c>
      <c r="K32" s="191">
        <v>1.0</v>
      </c>
      <c r="L32" s="191">
        <v>1.0</v>
      </c>
      <c r="M32" s="191">
        <v>1.0</v>
      </c>
      <c r="N32" s="191">
        <v>1.0</v>
      </c>
      <c r="O32" s="191">
        <v>1.0</v>
      </c>
      <c r="P32" s="191">
        <v>1.0</v>
      </c>
      <c r="Q32" s="191">
        <v>1.0</v>
      </c>
      <c r="R32" s="191">
        <v>1.0</v>
      </c>
      <c r="S32" s="191">
        <v>1.0</v>
      </c>
      <c r="T32" s="191">
        <v>1.0</v>
      </c>
      <c r="U32" s="185">
        <v>0.0</v>
      </c>
      <c r="V32" s="185">
        <v>0.0</v>
      </c>
      <c r="W32" s="185">
        <v>0.0</v>
      </c>
      <c r="X32" s="185">
        <v>0.0</v>
      </c>
      <c r="Y32" s="185">
        <v>0.0</v>
      </c>
      <c r="Z32" s="189"/>
      <c r="AA32" s="189"/>
      <c r="AB32" s="189"/>
      <c r="AC32" s="189"/>
      <c r="AD32" s="189"/>
      <c r="AE32" s="205"/>
      <c r="AF32" s="205"/>
      <c r="AG32" s="205"/>
      <c r="AH32" s="205"/>
      <c r="AI32" s="205"/>
      <c r="AJ32" s="205"/>
      <c r="AK32" s="205"/>
      <c r="AL32" s="205"/>
      <c r="AM32" s="205"/>
      <c r="AN32" s="205"/>
      <c r="AO32" s="205"/>
    </row>
    <row r="33">
      <c r="A33" s="938" t="s">
        <v>44</v>
      </c>
      <c r="B33" s="939">
        <f t="shared" ref="B33:Y33" si="21">(B24*0.7) + (IF(B31 &gt;= 30%, 1, 0)*0.15) + (B32*0.15)</f>
        <v>0.85</v>
      </c>
      <c r="C33" s="939">
        <f t="shared" si="21"/>
        <v>0.85</v>
      </c>
      <c r="D33" s="939">
        <f t="shared" si="21"/>
        <v>1</v>
      </c>
      <c r="E33" s="939">
        <f t="shared" si="21"/>
        <v>1</v>
      </c>
      <c r="F33" s="939">
        <f t="shared" si="21"/>
        <v>0.15</v>
      </c>
      <c r="G33" s="939">
        <f t="shared" si="21"/>
        <v>1</v>
      </c>
      <c r="H33" s="939">
        <f t="shared" si="21"/>
        <v>1</v>
      </c>
      <c r="I33" s="939">
        <f t="shared" si="21"/>
        <v>1</v>
      </c>
      <c r="J33" s="939">
        <f t="shared" si="21"/>
        <v>0.15</v>
      </c>
      <c r="K33" s="939">
        <f t="shared" si="21"/>
        <v>0.15</v>
      </c>
      <c r="L33" s="939">
        <f t="shared" si="21"/>
        <v>0.85</v>
      </c>
      <c r="M33" s="939">
        <f t="shared" si="21"/>
        <v>1</v>
      </c>
      <c r="N33" s="939">
        <f t="shared" si="21"/>
        <v>0.3</v>
      </c>
      <c r="O33" s="939">
        <f t="shared" si="21"/>
        <v>1</v>
      </c>
      <c r="P33" s="939">
        <f t="shared" si="21"/>
        <v>1</v>
      </c>
      <c r="Q33" s="939">
        <f t="shared" si="21"/>
        <v>1</v>
      </c>
      <c r="R33" s="939">
        <f t="shared" si="21"/>
        <v>0.3</v>
      </c>
      <c r="S33" s="939">
        <f t="shared" si="21"/>
        <v>0.3</v>
      </c>
      <c r="T33" s="939">
        <f t="shared" si="21"/>
        <v>0.15</v>
      </c>
      <c r="U33" s="939">
        <f t="shared" si="21"/>
        <v>0</v>
      </c>
      <c r="V33" s="939">
        <f t="shared" si="21"/>
        <v>0</v>
      </c>
      <c r="W33" s="939">
        <f t="shared" si="21"/>
        <v>0</v>
      </c>
      <c r="X33" s="939">
        <f t="shared" si="21"/>
        <v>0</v>
      </c>
      <c r="Y33" s="939">
        <f t="shared" si="21"/>
        <v>0</v>
      </c>
      <c r="Z33" s="731"/>
      <c r="AA33" s="731"/>
      <c r="AB33" s="731"/>
      <c r="AC33" s="731"/>
      <c r="AD33" s="731"/>
      <c r="AE33" s="940"/>
      <c r="AF33" s="940"/>
      <c r="AG33" s="940"/>
      <c r="AH33" s="940"/>
      <c r="AI33" s="940"/>
      <c r="AJ33" s="940"/>
      <c r="AK33" s="940"/>
      <c r="AL33" s="940"/>
      <c r="AM33" s="205"/>
      <c r="AN33" s="205"/>
      <c r="AO33" s="205"/>
    </row>
    <row r="34">
      <c r="A34" s="193" t="s">
        <v>142</v>
      </c>
      <c r="B34" s="194"/>
      <c r="I34" s="896"/>
      <c r="M34" s="939">
        <v>1.0</v>
      </c>
      <c r="N34" s="939">
        <v>0.3</v>
      </c>
      <c r="O34" s="939">
        <v>1.0</v>
      </c>
      <c r="P34" s="939">
        <v>1.0</v>
      </c>
      <c r="Q34" s="939">
        <v>1.0</v>
      </c>
      <c r="R34" s="939">
        <v>0.3</v>
      </c>
      <c r="S34" s="939">
        <v>0.3</v>
      </c>
    </row>
    <row r="35">
      <c r="A35" s="126" t="s">
        <v>45</v>
      </c>
      <c r="B35" s="127"/>
      <c r="C35" s="128"/>
      <c r="D35" s="128"/>
      <c r="E35" s="128"/>
      <c r="F35" s="128"/>
      <c r="G35" s="128"/>
      <c r="H35" s="128"/>
      <c r="I35" s="884"/>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row>
    <row r="36">
      <c r="A36" s="131" t="s">
        <v>1618</v>
      </c>
      <c r="B36" s="879">
        <v>45.0</v>
      </c>
      <c r="C36" s="880">
        <v>45.0</v>
      </c>
      <c r="D36" s="880">
        <v>45.0</v>
      </c>
      <c r="E36" s="880">
        <v>44.0</v>
      </c>
      <c r="F36" s="880">
        <v>50.0</v>
      </c>
      <c r="G36" s="880">
        <v>58.0</v>
      </c>
      <c r="H36" s="880">
        <v>47.0</v>
      </c>
      <c r="I36" s="880">
        <v>45.0</v>
      </c>
      <c r="J36" s="880">
        <v>45.0</v>
      </c>
      <c r="K36" s="880">
        <v>56.0</v>
      </c>
      <c r="L36" s="880">
        <v>37.0</v>
      </c>
      <c r="M36" s="880">
        <v>39.0</v>
      </c>
      <c r="N36" s="880">
        <v>50.0</v>
      </c>
      <c r="O36" s="880">
        <v>21.0</v>
      </c>
      <c r="P36" s="199">
        <v>45.0</v>
      </c>
      <c r="Q36" s="880">
        <v>45.0</v>
      </c>
      <c r="R36" s="880">
        <v>41.0</v>
      </c>
      <c r="S36" s="880">
        <v>41.0</v>
      </c>
      <c r="T36" s="880">
        <v>50.0</v>
      </c>
      <c r="U36" s="880"/>
      <c r="V36" s="880"/>
      <c r="W36" s="880"/>
      <c r="X36" s="880"/>
      <c r="Y36" s="880"/>
      <c r="Z36" s="133"/>
      <c r="AA36" s="133"/>
      <c r="AB36" s="133"/>
      <c r="AC36" s="133"/>
      <c r="AD36" s="133"/>
      <c r="AE36" s="133"/>
      <c r="AF36" s="133"/>
      <c r="AG36" s="133"/>
      <c r="AH36" s="133"/>
      <c r="AI36" s="133"/>
      <c r="AJ36" s="133"/>
      <c r="AK36" s="133"/>
      <c r="AL36" s="133"/>
      <c r="AM36" s="133"/>
      <c r="AN36" s="133"/>
      <c r="AO36" s="133"/>
    </row>
    <row r="37">
      <c r="A37" s="131" t="s">
        <v>1619</v>
      </c>
      <c r="B37" s="941">
        <v>13.0</v>
      </c>
      <c r="C37" s="941">
        <v>13.0</v>
      </c>
      <c r="D37" s="880">
        <v>62.0</v>
      </c>
      <c r="E37" s="880">
        <v>54.0</v>
      </c>
      <c r="F37" s="941">
        <v>43.0</v>
      </c>
      <c r="G37" s="880">
        <v>56.0</v>
      </c>
      <c r="H37" s="880">
        <v>53.0</v>
      </c>
      <c r="I37" s="880">
        <v>43.0</v>
      </c>
      <c r="J37" s="880">
        <v>49.0</v>
      </c>
      <c r="K37" s="880">
        <v>55.0</v>
      </c>
      <c r="L37" s="880">
        <v>18.0</v>
      </c>
      <c r="M37" s="880">
        <v>33.0</v>
      </c>
      <c r="N37" s="880">
        <v>38.0</v>
      </c>
      <c r="O37" s="880">
        <v>37.0</v>
      </c>
      <c r="P37" s="133">
        <v>41.0</v>
      </c>
      <c r="Q37" s="880">
        <v>43.0</v>
      </c>
      <c r="R37" s="880">
        <v>47.0</v>
      </c>
      <c r="S37" s="880">
        <v>51.0</v>
      </c>
      <c r="T37" s="880">
        <v>51.0</v>
      </c>
      <c r="U37" s="880"/>
      <c r="V37" s="880"/>
      <c r="W37" s="880"/>
      <c r="X37" s="880"/>
      <c r="Y37" s="880"/>
      <c r="Z37" s="133"/>
      <c r="AA37" s="133"/>
      <c r="AB37" s="133"/>
      <c r="AC37" s="133"/>
      <c r="AD37" s="133"/>
      <c r="AE37" s="133"/>
      <c r="AF37" s="133"/>
      <c r="AG37" s="133"/>
      <c r="AH37" s="133"/>
      <c r="AI37" s="133"/>
      <c r="AJ37" s="133"/>
      <c r="AK37" s="133"/>
      <c r="AL37" s="133"/>
      <c r="AM37" s="133"/>
      <c r="AN37" s="133"/>
      <c r="AO37" s="133"/>
    </row>
    <row r="38">
      <c r="A38" s="131" t="s">
        <v>1620</v>
      </c>
      <c r="B38" s="879">
        <v>48.0</v>
      </c>
      <c r="C38" s="880">
        <v>46.0</v>
      </c>
      <c r="D38" s="880">
        <v>47.0</v>
      </c>
      <c r="E38" s="941">
        <v>12.0</v>
      </c>
      <c r="F38" s="880">
        <v>51.0</v>
      </c>
      <c r="G38" s="880">
        <v>54.0</v>
      </c>
      <c r="H38" s="880">
        <v>60.0</v>
      </c>
      <c r="I38" s="880">
        <v>53.0</v>
      </c>
      <c r="J38" s="880">
        <v>23.0</v>
      </c>
      <c r="K38" s="880">
        <v>55.0</v>
      </c>
      <c r="L38" s="880">
        <v>58.0</v>
      </c>
      <c r="M38" s="880">
        <v>34.0</v>
      </c>
      <c r="N38" s="880">
        <v>36.0</v>
      </c>
      <c r="O38" s="880">
        <v>30.0</v>
      </c>
      <c r="P38" s="133">
        <v>51.0</v>
      </c>
      <c r="Q38" s="880">
        <v>51.0</v>
      </c>
      <c r="R38" s="880">
        <v>31.0</v>
      </c>
      <c r="S38" s="880">
        <v>23.0</v>
      </c>
      <c r="T38" s="880" t="s">
        <v>59</v>
      </c>
      <c r="U38" s="880"/>
      <c r="V38" s="880"/>
      <c r="W38" s="880"/>
      <c r="X38" s="880"/>
      <c r="Y38" s="880"/>
      <c r="Z38" s="133"/>
      <c r="AA38" s="133"/>
      <c r="AB38" s="133"/>
      <c r="AC38" s="133"/>
      <c r="AD38" s="133"/>
      <c r="AE38" s="133"/>
      <c r="AF38" s="133"/>
      <c r="AG38" s="133"/>
      <c r="AH38" s="133"/>
      <c r="AI38" s="133"/>
      <c r="AJ38" s="133"/>
      <c r="AK38" s="133"/>
      <c r="AL38" s="133"/>
      <c r="AM38" s="133"/>
      <c r="AN38" s="133"/>
      <c r="AO38" s="133"/>
    </row>
    <row r="39">
      <c r="A39" s="942" t="s">
        <v>1621</v>
      </c>
      <c r="B39" s="879">
        <v>38.0</v>
      </c>
      <c r="C39" s="943">
        <v>34.0</v>
      </c>
      <c r="D39" s="941">
        <v>10.0</v>
      </c>
      <c r="E39" s="880">
        <v>33.0</v>
      </c>
      <c r="F39" s="880">
        <v>41.0</v>
      </c>
      <c r="G39" s="941">
        <v>31.0</v>
      </c>
      <c r="H39" s="880">
        <v>42.0</v>
      </c>
      <c r="I39" s="880">
        <v>39.0</v>
      </c>
      <c r="J39" s="943">
        <v>23.0</v>
      </c>
      <c r="K39" s="880">
        <v>38.0</v>
      </c>
      <c r="L39" s="880">
        <v>39.0</v>
      </c>
      <c r="M39" s="943">
        <v>27.0</v>
      </c>
      <c r="N39" s="880">
        <v>32.0</v>
      </c>
      <c r="O39" s="880">
        <v>19.0</v>
      </c>
      <c r="P39" s="133">
        <v>37.0</v>
      </c>
      <c r="Q39" s="880">
        <v>11.0</v>
      </c>
      <c r="R39" s="880">
        <v>41.0</v>
      </c>
      <c r="S39" s="880">
        <v>39.0</v>
      </c>
      <c r="T39" s="880">
        <v>40.0</v>
      </c>
      <c r="U39" s="880"/>
      <c r="V39" s="880"/>
      <c r="W39" s="880"/>
      <c r="X39" s="880"/>
      <c r="Y39" s="880"/>
      <c r="Z39" s="133"/>
      <c r="AA39" s="133"/>
      <c r="AB39" s="133"/>
      <c r="AC39" s="133"/>
      <c r="AD39" s="133"/>
      <c r="AE39" s="133"/>
      <c r="AF39" s="133"/>
      <c r="AG39" s="133"/>
      <c r="AH39" s="133"/>
      <c r="AI39" s="133"/>
      <c r="AJ39" s="133"/>
      <c r="AK39" s="133"/>
      <c r="AL39" s="133"/>
      <c r="AM39" s="133"/>
      <c r="AN39" s="133"/>
      <c r="AO39" s="133"/>
    </row>
    <row r="40" hidden="1">
      <c r="A40" s="131" t="s">
        <v>1622</v>
      </c>
      <c r="B40" s="879">
        <v>0.0</v>
      </c>
      <c r="C40" s="880">
        <v>42.0</v>
      </c>
      <c r="D40" s="880">
        <v>34.0</v>
      </c>
      <c r="E40" s="880">
        <v>34.0</v>
      </c>
      <c r="F40" s="880">
        <v>37.0</v>
      </c>
      <c r="G40" s="880">
        <v>29.0</v>
      </c>
      <c r="H40" s="880">
        <v>55.0</v>
      </c>
      <c r="I40" s="880">
        <v>47.0</v>
      </c>
      <c r="J40" s="880">
        <v>32.0</v>
      </c>
      <c r="K40" s="880">
        <v>42.0</v>
      </c>
      <c r="L40" s="880">
        <v>39.0</v>
      </c>
      <c r="M40" s="880">
        <v>34.0</v>
      </c>
      <c r="N40" s="880">
        <v>37.0</v>
      </c>
      <c r="O40" s="880">
        <v>26.0</v>
      </c>
      <c r="P40" s="133">
        <v>13.0</v>
      </c>
      <c r="Q40" s="880" t="s">
        <v>59</v>
      </c>
      <c r="R40" s="880" t="s">
        <v>59</v>
      </c>
      <c r="S40" s="880" t="s">
        <v>59</v>
      </c>
      <c r="T40" s="880" t="s">
        <v>59</v>
      </c>
      <c r="U40" s="880"/>
      <c r="V40" s="880"/>
      <c r="W40" s="880"/>
      <c r="X40" s="880"/>
      <c r="Y40" s="880"/>
      <c r="Z40" s="133"/>
      <c r="AA40" s="133"/>
      <c r="AB40" s="133"/>
      <c r="AC40" s="133"/>
      <c r="AD40" s="133"/>
      <c r="AE40" s="133"/>
      <c r="AF40" s="133"/>
      <c r="AG40" s="133"/>
      <c r="AH40" s="133"/>
      <c r="AI40" s="133"/>
      <c r="AJ40" s="133"/>
      <c r="AK40" s="133"/>
      <c r="AL40" s="133"/>
      <c r="AM40" s="133"/>
      <c r="AN40" s="133"/>
      <c r="AO40" s="133"/>
    </row>
    <row r="41">
      <c r="A41" s="942" t="s">
        <v>1623</v>
      </c>
      <c r="B41" s="879">
        <v>34.0</v>
      </c>
      <c r="C41" s="880">
        <v>39.0</v>
      </c>
      <c r="D41" s="880">
        <v>34.0</v>
      </c>
      <c r="E41" s="880">
        <v>29.0</v>
      </c>
      <c r="F41" s="880">
        <v>34.0</v>
      </c>
      <c r="G41" s="880">
        <v>39.0</v>
      </c>
      <c r="H41" s="880">
        <v>36.0</v>
      </c>
      <c r="I41" s="880">
        <v>34.0</v>
      </c>
      <c r="J41" s="880">
        <v>8.0</v>
      </c>
      <c r="K41" s="880">
        <v>34.0</v>
      </c>
      <c r="L41" s="880">
        <v>37.0</v>
      </c>
      <c r="M41" s="880">
        <v>37.0</v>
      </c>
      <c r="N41" s="880">
        <v>34.0</v>
      </c>
      <c r="O41" s="880">
        <v>21.0</v>
      </c>
      <c r="P41" s="133">
        <v>26.0</v>
      </c>
      <c r="Q41" s="880">
        <v>34.0</v>
      </c>
      <c r="R41" s="880">
        <v>26.0</v>
      </c>
      <c r="S41" s="880">
        <v>31.0</v>
      </c>
      <c r="T41" s="880">
        <v>34.0</v>
      </c>
      <c r="U41" s="880"/>
      <c r="V41" s="880"/>
      <c r="W41" s="880"/>
      <c r="X41" s="880"/>
      <c r="Y41" s="880"/>
      <c r="Z41" s="133"/>
      <c r="AA41" s="133"/>
      <c r="AB41" s="133"/>
      <c r="AC41" s="133"/>
      <c r="AD41" s="133"/>
      <c r="AE41" s="133"/>
      <c r="AF41" s="133"/>
      <c r="AG41" s="133"/>
      <c r="AH41" s="133"/>
      <c r="AI41" s="133"/>
      <c r="AJ41" s="133"/>
      <c r="AK41" s="133"/>
      <c r="AL41" s="133"/>
      <c r="AM41" s="133"/>
      <c r="AN41" s="133"/>
      <c r="AO41" s="133"/>
    </row>
    <row r="42">
      <c r="A42" s="131" t="s">
        <v>1624</v>
      </c>
      <c r="B42" s="879">
        <v>17.0</v>
      </c>
      <c r="C42" s="880">
        <v>16.0</v>
      </c>
      <c r="D42" s="880">
        <v>9.0</v>
      </c>
      <c r="E42" s="880">
        <v>16.0</v>
      </c>
      <c r="F42" s="880">
        <v>14.0</v>
      </c>
      <c r="G42" s="880">
        <v>18.0</v>
      </c>
      <c r="H42" s="880">
        <v>37.0</v>
      </c>
      <c r="I42" s="880">
        <v>22.0</v>
      </c>
      <c r="J42" s="880">
        <v>19.0</v>
      </c>
      <c r="K42" s="880">
        <v>34.0</v>
      </c>
      <c r="L42" s="880">
        <v>32.0</v>
      </c>
      <c r="M42" s="880">
        <v>31.0</v>
      </c>
      <c r="N42" s="880">
        <v>8.0</v>
      </c>
      <c r="O42" s="880">
        <v>14.0</v>
      </c>
      <c r="P42" s="133">
        <v>17.0</v>
      </c>
      <c r="Q42" s="880">
        <v>19.0</v>
      </c>
      <c r="R42" s="880">
        <v>26.0</v>
      </c>
      <c r="S42" s="880">
        <v>18.0</v>
      </c>
      <c r="T42" s="880">
        <v>21.0</v>
      </c>
      <c r="U42" s="880"/>
      <c r="V42" s="880"/>
      <c r="W42" s="880"/>
      <c r="X42" s="880"/>
      <c r="Y42" s="880"/>
      <c r="Z42" s="133"/>
      <c r="AA42" s="133"/>
      <c r="AB42" s="133"/>
      <c r="AC42" s="133"/>
      <c r="AD42" s="133"/>
      <c r="AE42" s="133"/>
      <c r="AF42" s="133"/>
      <c r="AG42" s="133"/>
      <c r="AH42" s="133"/>
      <c r="AI42" s="133"/>
      <c r="AJ42" s="133"/>
      <c r="AK42" s="133"/>
      <c r="AL42" s="133"/>
      <c r="AM42" s="133"/>
      <c r="AN42" s="133"/>
      <c r="AO42" s="133"/>
    </row>
    <row r="43">
      <c r="A43" s="131" t="s">
        <v>1625</v>
      </c>
      <c r="B43" s="879">
        <v>9.0</v>
      </c>
      <c r="C43" s="880">
        <v>10.0</v>
      </c>
      <c r="D43" s="880">
        <v>4.0</v>
      </c>
      <c r="E43" s="880">
        <v>5.0</v>
      </c>
      <c r="F43" s="880">
        <v>11.0</v>
      </c>
      <c r="G43" s="880">
        <v>9.0</v>
      </c>
      <c r="H43" s="880">
        <v>5.0</v>
      </c>
      <c r="I43" s="880">
        <v>9.0</v>
      </c>
      <c r="J43" s="880">
        <v>10.0</v>
      </c>
      <c r="K43" s="880">
        <v>13.0</v>
      </c>
      <c r="L43" s="880">
        <v>13.0</v>
      </c>
      <c r="M43" s="880">
        <v>13.0</v>
      </c>
      <c r="N43" s="880">
        <v>8.0</v>
      </c>
      <c r="O43" s="880">
        <v>6.0</v>
      </c>
      <c r="P43" s="133">
        <v>3.0</v>
      </c>
      <c r="Q43" s="880">
        <v>11.0</v>
      </c>
      <c r="R43" s="880">
        <v>3.0</v>
      </c>
      <c r="S43" s="880">
        <v>3.0</v>
      </c>
      <c r="T43" s="880">
        <v>5.0</v>
      </c>
      <c r="U43" s="880"/>
      <c r="V43" s="880"/>
      <c r="W43" s="880"/>
      <c r="X43" s="880"/>
      <c r="Y43" s="880"/>
      <c r="Z43" s="133"/>
      <c r="AA43" s="133"/>
      <c r="AB43" s="133"/>
      <c r="AC43" s="133"/>
      <c r="AD43" s="133"/>
      <c r="AE43" s="133"/>
      <c r="AF43" s="133"/>
      <c r="AG43" s="133"/>
      <c r="AH43" s="133"/>
      <c r="AI43" s="133"/>
      <c r="AJ43" s="133"/>
      <c r="AK43" s="133"/>
      <c r="AL43" s="133"/>
      <c r="AM43" s="133"/>
      <c r="AN43" s="133"/>
      <c r="AO43" s="133"/>
    </row>
    <row r="44">
      <c r="A44" s="131" t="s">
        <v>1626</v>
      </c>
      <c r="B44" s="879" t="s">
        <v>59</v>
      </c>
      <c r="C44" s="879" t="s">
        <v>59</v>
      </c>
      <c r="D44" s="879" t="s">
        <v>59</v>
      </c>
      <c r="E44" s="879" t="s">
        <v>59</v>
      </c>
      <c r="F44" s="879">
        <v>19.0</v>
      </c>
      <c r="G44" s="880">
        <v>26.0</v>
      </c>
      <c r="H44" s="880">
        <v>32.0</v>
      </c>
      <c r="I44" s="880">
        <v>29.0</v>
      </c>
      <c r="J44" s="880">
        <v>13.0</v>
      </c>
      <c r="K44" s="880">
        <v>31.0</v>
      </c>
      <c r="L44" s="880">
        <v>48.0</v>
      </c>
      <c r="M44" s="880">
        <v>21.0</v>
      </c>
      <c r="N44" s="880">
        <v>24.0</v>
      </c>
      <c r="O44" s="880">
        <v>13.0</v>
      </c>
      <c r="P44" s="133">
        <v>16.0</v>
      </c>
      <c r="Q44" s="880">
        <v>21.0</v>
      </c>
      <c r="R44" s="880">
        <v>8.0</v>
      </c>
      <c r="S44" s="880">
        <v>16.0</v>
      </c>
      <c r="T44" s="880">
        <v>8.0</v>
      </c>
      <c r="U44" s="880"/>
      <c r="V44" s="880"/>
      <c r="W44" s="880"/>
      <c r="X44" s="880"/>
      <c r="Y44" s="880"/>
      <c r="Z44" s="133"/>
      <c r="AA44" s="133"/>
      <c r="AB44" s="133"/>
      <c r="AC44" s="133"/>
      <c r="AD44" s="133"/>
      <c r="AE44" s="133"/>
      <c r="AF44" s="133"/>
      <c r="AG44" s="133"/>
      <c r="AH44" s="133"/>
      <c r="AI44" s="133"/>
      <c r="AJ44" s="133"/>
      <c r="AK44" s="133"/>
      <c r="AL44" s="133"/>
      <c r="AM44" s="133"/>
      <c r="AN44" s="133"/>
      <c r="AO44" s="133"/>
    </row>
    <row r="45">
      <c r="A45" s="942" t="s">
        <v>1627</v>
      </c>
      <c r="B45" s="879" t="s">
        <v>59</v>
      </c>
      <c r="C45" s="879" t="s">
        <v>59</v>
      </c>
      <c r="D45" s="879" t="s">
        <v>59</v>
      </c>
      <c r="E45" s="879" t="s">
        <v>59</v>
      </c>
      <c r="F45" s="879" t="s">
        <v>59</v>
      </c>
      <c r="G45" s="880">
        <v>5.0</v>
      </c>
      <c r="H45" s="880">
        <v>6.0</v>
      </c>
      <c r="I45" s="880">
        <v>11.0</v>
      </c>
      <c r="J45" s="880">
        <v>7.0</v>
      </c>
      <c r="K45" s="880">
        <v>13.0</v>
      </c>
      <c r="L45" s="880">
        <v>17.0</v>
      </c>
      <c r="M45" s="880">
        <v>16.0</v>
      </c>
      <c r="N45" s="880">
        <v>13.0</v>
      </c>
      <c r="O45" s="880">
        <v>13.0</v>
      </c>
      <c r="P45" s="133">
        <v>13.0</v>
      </c>
      <c r="Q45" s="880">
        <v>11.0</v>
      </c>
      <c r="R45" s="880">
        <v>16.0</v>
      </c>
      <c r="S45" s="880">
        <v>5.0</v>
      </c>
      <c r="T45" s="880">
        <v>16.0</v>
      </c>
      <c r="U45" s="880"/>
      <c r="V45" s="880"/>
      <c r="W45" s="880"/>
      <c r="X45" s="880"/>
      <c r="Y45" s="880"/>
      <c r="Z45" s="133"/>
      <c r="AA45" s="133"/>
      <c r="AB45" s="133"/>
      <c r="AC45" s="133"/>
      <c r="AD45" s="133"/>
      <c r="AE45" s="133"/>
      <c r="AF45" s="133"/>
      <c r="AG45" s="133"/>
      <c r="AH45" s="133"/>
      <c r="AI45" s="133"/>
      <c r="AJ45" s="133"/>
      <c r="AK45" s="133"/>
      <c r="AL45" s="133"/>
      <c r="AM45" s="133"/>
      <c r="AN45" s="133"/>
      <c r="AO45" s="133"/>
    </row>
    <row r="46">
      <c r="A46" s="131"/>
      <c r="B46" s="136"/>
      <c r="C46" s="130"/>
      <c r="D46" s="130"/>
      <c r="E46" s="130"/>
      <c r="F46" s="130"/>
      <c r="G46" s="881"/>
      <c r="H46" s="881"/>
      <c r="I46" s="881"/>
      <c r="J46" s="130"/>
      <c r="K46" s="130"/>
      <c r="L46" s="130"/>
      <c r="M46" s="130"/>
      <c r="N46" s="130"/>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row>
    <row r="47">
      <c r="A47" s="131"/>
      <c r="B47" s="132"/>
      <c r="C47" s="130"/>
      <c r="D47" s="130"/>
      <c r="E47" s="130"/>
      <c r="F47" s="130"/>
      <c r="G47" s="881"/>
      <c r="H47" s="881"/>
      <c r="I47" s="881"/>
      <c r="J47" s="130"/>
      <c r="K47" s="130"/>
      <c r="L47" s="130"/>
      <c r="M47" s="130"/>
      <c r="N47" s="130"/>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row>
    <row r="48">
      <c r="A48" s="126" t="s">
        <v>46</v>
      </c>
      <c r="B48" s="127"/>
      <c r="C48" s="128"/>
      <c r="D48" s="128"/>
      <c r="E48" s="128"/>
      <c r="F48" s="128"/>
      <c r="G48" s="884"/>
      <c r="H48" s="884"/>
      <c r="I48" s="884"/>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row>
    <row r="49">
      <c r="A49" s="131" t="s">
        <v>1618</v>
      </c>
      <c r="B49" s="879">
        <v>47.0</v>
      </c>
      <c r="C49" s="880">
        <v>45.0</v>
      </c>
      <c r="D49" s="880">
        <v>46.0</v>
      </c>
      <c r="E49" s="880">
        <v>53.0</v>
      </c>
      <c r="F49" s="880">
        <v>37.0</v>
      </c>
      <c r="G49" s="880">
        <v>46.0</v>
      </c>
      <c r="H49" s="880">
        <v>21.0</v>
      </c>
      <c r="I49" s="880">
        <v>37.0</v>
      </c>
      <c r="J49" s="133">
        <v>45.0</v>
      </c>
      <c r="K49" s="133">
        <v>47.0</v>
      </c>
      <c r="L49" s="133">
        <v>30.0</v>
      </c>
      <c r="M49" s="133">
        <v>39.0</v>
      </c>
      <c r="N49" s="133">
        <v>45.0</v>
      </c>
      <c r="O49" s="133">
        <v>21.0</v>
      </c>
      <c r="P49" s="199">
        <v>41.0</v>
      </c>
      <c r="Q49" s="880">
        <v>54.0</v>
      </c>
      <c r="R49" s="880">
        <v>52.0</v>
      </c>
      <c r="S49" s="133">
        <v>41.0</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row>
    <row r="50">
      <c r="A50" s="131" t="s">
        <v>1619</v>
      </c>
      <c r="B50" s="879">
        <v>18.0</v>
      </c>
      <c r="C50" s="880">
        <v>13.0</v>
      </c>
      <c r="D50" s="880">
        <v>75.0</v>
      </c>
      <c r="E50" s="880">
        <v>57.0</v>
      </c>
      <c r="F50" s="880">
        <v>30.0</v>
      </c>
      <c r="G50" s="880">
        <v>59.0</v>
      </c>
      <c r="H50" s="880">
        <v>48.0</v>
      </c>
      <c r="I50" s="880">
        <v>46.0</v>
      </c>
      <c r="J50" s="133">
        <v>46.0</v>
      </c>
      <c r="K50" s="133">
        <v>56.0</v>
      </c>
      <c r="L50" s="133">
        <v>13.0</v>
      </c>
      <c r="M50" s="133">
        <v>30.0</v>
      </c>
      <c r="N50" s="133">
        <v>41.0</v>
      </c>
      <c r="O50" s="133">
        <v>37.0</v>
      </c>
      <c r="P50" s="199">
        <v>51.0</v>
      </c>
      <c r="Q50" s="880">
        <v>35.0</v>
      </c>
      <c r="R50" s="880">
        <v>57.0</v>
      </c>
      <c r="S50" s="133">
        <v>51.0</v>
      </c>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row>
    <row r="51">
      <c r="A51" s="131" t="s">
        <v>1620</v>
      </c>
      <c r="B51" s="886">
        <v>46.0</v>
      </c>
      <c r="C51" s="880">
        <v>38.0</v>
      </c>
      <c r="D51" s="880">
        <v>51.0</v>
      </c>
      <c r="E51" s="880">
        <v>13.0</v>
      </c>
      <c r="F51" s="880">
        <v>48.0</v>
      </c>
      <c r="G51" s="880">
        <v>43.0</v>
      </c>
      <c r="H51" s="880">
        <v>77.0</v>
      </c>
      <c r="I51" s="880">
        <v>57.0</v>
      </c>
      <c r="J51" s="133">
        <v>23.0</v>
      </c>
      <c r="K51" s="133">
        <v>51.0</v>
      </c>
      <c r="L51" s="133">
        <v>54.0</v>
      </c>
      <c r="M51" s="133">
        <v>32.0</v>
      </c>
      <c r="N51" s="133">
        <v>4.0</v>
      </c>
      <c r="O51" s="133">
        <v>23.0</v>
      </c>
      <c r="P51" s="199">
        <v>56.0</v>
      </c>
      <c r="Q51" s="880">
        <v>41.0</v>
      </c>
      <c r="R51" s="880">
        <v>22.0</v>
      </c>
      <c r="S51" s="133">
        <v>15.0</v>
      </c>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row>
    <row r="52">
      <c r="A52" s="942" t="s">
        <v>1621</v>
      </c>
      <c r="B52" s="886">
        <v>36.0</v>
      </c>
      <c r="C52" s="880">
        <v>13.0</v>
      </c>
      <c r="D52" s="880">
        <v>2.0</v>
      </c>
      <c r="E52" s="880">
        <v>29.0</v>
      </c>
      <c r="F52" s="880">
        <v>41.0</v>
      </c>
      <c r="G52" s="880">
        <v>24.0</v>
      </c>
      <c r="H52" s="880">
        <v>55.0</v>
      </c>
      <c r="I52" s="880">
        <v>40.0</v>
      </c>
      <c r="J52" s="133">
        <v>12.0</v>
      </c>
      <c r="K52" s="133">
        <v>39.0</v>
      </c>
      <c r="L52" s="133">
        <v>44.0</v>
      </c>
      <c r="M52" s="133">
        <v>14.0</v>
      </c>
      <c r="N52" s="133">
        <v>32.0</v>
      </c>
      <c r="O52" s="133">
        <v>22.0</v>
      </c>
      <c r="P52" s="199">
        <v>37.0</v>
      </c>
      <c r="Q52" s="880">
        <v>14.0</v>
      </c>
      <c r="R52" s="880">
        <v>46.0</v>
      </c>
      <c r="S52" s="133">
        <v>26.0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row>
    <row r="53" hidden="1">
      <c r="A53" s="131" t="s">
        <v>1622</v>
      </c>
      <c r="B53" s="886">
        <v>8.0</v>
      </c>
      <c r="C53" s="880">
        <v>42.0</v>
      </c>
      <c r="D53" s="880">
        <v>34.0</v>
      </c>
      <c r="E53" s="880">
        <v>34.0</v>
      </c>
      <c r="F53" s="880">
        <v>37.0</v>
      </c>
      <c r="G53" s="880">
        <v>29.0</v>
      </c>
      <c r="H53" s="880">
        <v>55.0</v>
      </c>
      <c r="I53" s="880">
        <v>47.0</v>
      </c>
      <c r="J53" s="133">
        <v>32.0</v>
      </c>
      <c r="K53" s="133">
        <v>42.0</v>
      </c>
      <c r="L53" s="133">
        <v>39.0</v>
      </c>
      <c r="M53" s="133">
        <v>34.0</v>
      </c>
      <c r="N53" s="133">
        <v>37.0</v>
      </c>
      <c r="O53" s="133">
        <v>26.0</v>
      </c>
      <c r="P53" s="199">
        <v>13.0</v>
      </c>
      <c r="Q53" s="880" t="s">
        <v>59</v>
      </c>
      <c r="R53" s="880" t="s">
        <v>59</v>
      </c>
      <c r="S53" s="133" t="s">
        <v>59</v>
      </c>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row>
    <row r="54">
      <c r="A54" s="942" t="s">
        <v>1623</v>
      </c>
      <c r="B54" s="886">
        <v>34.0</v>
      </c>
      <c r="C54" s="880">
        <v>39.0</v>
      </c>
      <c r="D54" s="880">
        <v>34.0</v>
      </c>
      <c r="E54" s="880">
        <v>29.0</v>
      </c>
      <c r="F54" s="880">
        <v>34.0</v>
      </c>
      <c r="G54" s="880">
        <v>39.0</v>
      </c>
      <c r="H54" s="880">
        <v>41.0</v>
      </c>
      <c r="I54" s="880">
        <v>34.0</v>
      </c>
      <c r="J54" s="133">
        <v>8.0</v>
      </c>
      <c r="K54" s="133">
        <v>29.0</v>
      </c>
      <c r="L54" s="133">
        <v>26.0</v>
      </c>
      <c r="M54" s="133">
        <v>29.0</v>
      </c>
      <c r="N54" s="133">
        <v>34.0</v>
      </c>
      <c r="O54" s="133">
        <v>21.0</v>
      </c>
      <c r="P54" s="199">
        <v>26.0</v>
      </c>
      <c r="Q54" s="880">
        <v>34.0</v>
      </c>
      <c r="R54" s="880">
        <v>26.0</v>
      </c>
      <c r="S54" s="133">
        <v>31.0</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row>
    <row r="55">
      <c r="A55" s="131" t="s">
        <v>1624</v>
      </c>
      <c r="B55" s="886">
        <v>8.0</v>
      </c>
      <c r="C55" s="880">
        <v>8.0</v>
      </c>
      <c r="D55" s="880">
        <v>9.0</v>
      </c>
      <c r="E55" s="880">
        <v>5.0</v>
      </c>
      <c r="F55" s="880">
        <v>11.0</v>
      </c>
      <c r="G55" s="880">
        <v>10.0</v>
      </c>
      <c r="H55" s="880">
        <v>26.0</v>
      </c>
      <c r="I55" s="880">
        <v>15.0</v>
      </c>
      <c r="J55" s="133">
        <v>4.0</v>
      </c>
      <c r="K55" s="133">
        <v>8.0</v>
      </c>
      <c r="L55" s="133">
        <v>10.0</v>
      </c>
      <c r="M55" s="133">
        <v>18.0</v>
      </c>
      <c r="N55" s="133">
        <v>0.0</v>
      </c>
      <c r="O55" s="133">
        <v>13.0</v>
      </c>
      <c r="P55" s="199">
        <v>3.0</v>
      </c>
      <c r="Q55" s="880">
        <v>16.0</v>
      </c>
      <c r="R55" s="880">
        <v>5.0</v>
      </c>
      <c r="S55" s="133">
        <v>16.0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row>
    <row r="56">
      <c r="A56" s="131" t="s">
        <v>1625</v>
      </c>
      <c r="B56" s="886">
        <v>0.0</v>
      </c>
      <c r="C56" s="880">
        <v>5.0</v>
      </c>
      <c r="D56" s="880">
        <v>4.0</v>
      </c>
      <c r="E56" s="880">
        <v>0.0</v>
      </c>
      <c r="F56" s="880">
        <v>3.0</v>
      </c>
      <c r="G56" s="880">
        <v>3.0</v>
      </c>
      <c r="H56" s="880">
        <v>2.0</v>
      </c>
      <c r="I56" s="880">
        <v>1.0</v>
      </c>
      <c r="J56" s="133">
        <v>10.0</v>
      </c>
      <c r="K56" s="133">
        <v>18.0</v>
      </c>
      <c r="L56" s="133">
        <v>0.0</v>
      </c>
      <c r="M56" s="133">
        <v>13.0</v>
      </c>
      <c r="N56" s="133">
        <v>5.0</v>
      </c>
      <c r="O56" s="133">
        <v>3.0</v>
      </c>
      <c r="P56" s="199">
        <v>0.0</v>
      </c>
      <c r="Q56" s="880">
        <v>5.0</v>
      </c>
      <c r="R56" s="880">
        <v>0.0</v>
      </c>
      <c r="S56" s="133">
        <v>0.0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row>
    <row r="57">
      <c r="A57" s="131" t="s">
        <v>1626</v>
      </c>
      <c r="B57" s="879" t="s">
        <v>59</v>
      </c>
      <c r="C57" s="879" t="s">
        <v>59</v>
      </c>
      <c r="D57" s="879" t="s">
        <v>59</v>
      </c>
      <c r="E57" s="879" t="s">
        <v>59</v>
      </c>
      <c r="F57" s="880">
        <v>27.0</v>
      </c>
      <c r="G57" s="880">
        <v>13.0</v>
      </c>
      <c r="H57" s="880">
        <v>29.0</v>
      </c>
      <c r="I57" s="880">
        <v>16.0</v>
      </c>
      <c r="J57" s="133">
        <v>0.0</v>
      </c>
      <c r="K57" s="133">
        <v>5.0</v>
      </c>
      <c r="L57" s="133">
        <v>27.0</v>
      </c>
      <c r="M57" s="133">
        <v>26.0</v>
      </c>
      <c r="N57" s="133">
        <v>24.0</v>
      </c>
      <c r="O57" s="133">
        <v>0.0</v>
      </c>
      <c r="P57" s="199">
        <v>21.0</v>
      </c>
      <c r="Q57" s="880">
        <v>21.0</v>
      </c>
      <c r="R57" s="4">
        <v>0.0</v>
      </c>
      <c r="S57" s="133">
        <v>8.0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row>
    <row r="58">
      <c r="A58" s="942" t="s">
        <v>1627</v>
      </c>
      <c r="B58" s="879" t="s">
        <v>59</v>
      </c>
      <c r="C58" s="879" t="s">
        <v>59</v>
      </c>
      <c r="D58" s="879" t="s">
        <v>59</v>
      </c>
      <c r="E58" s="879" t="s">
        <v>59</v>
      </c>
      <c r="F58" s="880" t="s">
        <v>59</v>
      </c>
      <c r="G58" s="880">
        <v>2.0</v>
      </c>
      <c r="H58" s="880">
        <v>3.0</v>
      </c>
      <c r="I58" s="880">
        <v>11.0</v>
      </c>
      <c r="J58" s="133">
        <v>0.0</v>
      </c>
      <c r="K58" s="133">
        <v>1.0</v>
      </c>
      <c r="L58" s="133">
        <v>1.0</v>
      </c>
      <c r="M58" s="133">
        <v>11.0</v>
      </c>
      <c r="N58" s="133">
        <v>0.0</v>
      </c>
      <c r="O58" s="133">
        <v>13.0</v>
      </c>
      <c r="P58" s="199">
        <v>0.0</v>
      </c>
      <c r="Q58" s="880">
        <v>6.0</v>
      </c>
      <c r="R58" s="880">
        <v>3.0</v>
      </c>
      <c r="S58" s="133">
        <v>0.0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row>
    <row r="59">
      <c r="A59" s="126" t="s">
        <v>225</v>
      </c>
      <c r="B59" s="410"/>
      <c r="C59" s="403"/>
      <c r="D59" s="403"/>
      <c r="E59" s="403"/>
      <c r="F59" s="403"/>
      <c r="G59" s="403"/>
      <c r="H59" s="403"/>
      <c r="I59" s="403"/>
      <c r="J59" s="403"/>
      <c r="K59" s="403"/>
      <c r="L59" s="403"/>
      <c r="M59" s="403"/>
      <c r="N59" s="403"/>
      <c r="O59" s="403"/>
      <c r="P59" s="403"/>
      <c r="Q59" s="403"/>
      <c r="R59" s="403"/>
      <c r="S59" s="403"/>
      <c r="T59" s="403"/>
      <c r="U59" s="403"/>
      <c r="V59" s="411"/>
      <c r="W59" s="403"/>
      <c r="X59" s="403"/>
      <c r="Y59" s="403"/>
      <c r="Z59" s="403"/>
      <c r="AA59" s="403"/>
      <c r="AB59" s="403"/>
      <c r="AC59" s="403"/>
      <c r="AD59" s="403"/>
      <c r="AE59" s="403"/>
      <c r="AF59" s="403"/>
      <c r="AG59" s="403"/>
      <c r="AH59" s="403"/>
      <c r="AI59" s="403"/>
      <c r="AJ59" s="403"/>
      <c r="AK59" s="403"/>
      <c r="AL59" s="403"/>
      <c r="AM59" s="403"/>
      <c r="AN59" s="403"/>
    </row>
    <row r="60">
      <c r="A60" s="131"/>
      <c r="B60" s="137"/>
      <c r="C60" s="133"/>
      <c r="D60" s="133"/>
      <c r="E60" s="133"/>
      <c r="F60" s="133"/>
      <c r="G60" s="133"/>
      <c r="H60" s="133"/>
      <c r="I60" s="880"/>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row>
    <row r="61">
      <c r="A61" s="202" t="s">
        <v>154</v>
      </c>
      <c r="B61" s="886">
        <v>1.0</v>
      </c>
      <c r="C61" s="880">
        <v>1.0</v>
      </c>
      <c r="D61" s="880">
        <v>1.0</v>
      </c>
      <c r="E61" s="880">
        <v>1.0</v>
      </c>
      <c r="F61" s="880">
        <v>-1.0</v>
      </c>
      <c r="G61" s="880">
        <v>0.0</v>
      </c>
      <c r="H61" s="133">
        <v>0.0</v>
      </c>
      <c r="I61" s="880">
        <v>1.0</v>
      </c>
      <c r="J61" s="133">
        <v>0.0</v>
      </c>
      <c r="K61" s="133">
        <v>1.0</v>
      </c>
      <c r="L61" s="133">
        <v>1.0</v>
      </c>
      <c r="M61" s="133">
        <v>1.0</v>
      </c>
      <c r="N61" s="133">
        <v>1.0</v>
      </c>
      <c r="O61" s="133">
        <v>1.0</v>
      </c>
      <c r="P61" s="880">
        <v>0.0</v>
      </c>
      <c r="Q61" s="133">
        <v>0.0</v>
      </c>
      <c r="R61" s="133">
        <v>1.0</v>
      </c>
      <c r="S61" s="133">
        <v>0.0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row>
    <row r="62">
      <c r="A62" s="202" t="s">
        <v>155</v>
      </c>
      <c r="B62" s="886">
        <v>0.0</v>
      </c>
      <c r="C62" s="880">
        <v>0.0</v>
      </c>
      <c r="D62" s="880">
        <v>1.0</v>
      </c>
      <c r="E62" s="880">
        <v>-1.0</v>
      </c>
      <c r="F62" s="880">
        <v>0.0</v>
      </c>
      <c r="G62" s="880">
        <v>-1.0</v>
      </c>
      <c r="H62" s="133">
        <v>-1.0</v>
      </c>
      <c r="I62" s="880">
        <v>1.0</v>
      </c>
      <c r="J62" s="133">
        <v>-1.0</v>
      </c>
      <c r="K62" s="133">
        <v>-1.0</v>
      </c>
      <c r="L62" s="133">
        <v>0.0</v>
      </c>
      <c r="M62" s="133">
        <v>1.0</v>
      </c>
      <c r="N62" s="133">
        <v>0.0</v>
      </c>
      <c r="O62" s="133">
        <v>0.0</v>
      </c>
      <c r="P62" s="880">
        <v>0.0</v>
      </c>
      <c r="Q62" s="133">
        <v>0.0</v>
      </c>
      <c r="R62" s="133">
        <v>1.0</v>
      </c>
      <c r="S62" s="133">
        <v>-1.0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row>
    <row r="63">
      <c r="A63" s="202" t="s">
        <v>157</v>
      </c>
      <c r="B63" s="886">
        <v>0.0</v>
      </c>
      <c r="C63" s="880">
        <v>1.0</v>
      </c>
      <c r="D63" s="880">
        <v>1.0</v>
      </c>
      <c r="E63" s="880">
        <v>1.0</v>
      </c>
      <c r="F63" s="880">
        <v>1.0</v>
      </c>
      <c r="G63" s="880">
        <v>1.0</v>
      </c>
      <c r="H63" s="133">
        <v>1.0</v>
      </c>
      <c r="I63" s="880">
        <v>1.0</v>
      </c>
      <c r="J63" s="133">
        <v>0.0</v>
      </c>
      <c r="K63" s="133">
        <v>1.0</v>
      </c>
      <c r="L63" s="133">
        <v>1.0</v>
      </c>
      <c r="M63" s="133">
        <v>1.0</v>
      </c>
      <c r="N63" s="133">
        <v>1.0</v>
      </c>
      <c r="O63" s="133">
        <v>1.0</v>
      </c>
      <c r="P63" s="880">
        <v>1.0</v>
      </c>
      <c r="Q63" s="133">
        <v>0.0</v>
      </c>
      <c r="R63" s="133">
        <v>1.0</v>
      </c>
      <c r="S63" s="133">
        <v>0.0</v>
      </c>
      <c r="T63" s="199"/>
      <c r="U63" s="133"/>
      <c r="V63" s="133"/>
      <c r="W63" s="133"/>
      <c r="X63" s="133"/>
      <c r="Y63" s="133"/>
      <c r="Z63" s="133"/>
      <c r="AA63" s="133"/>
      <c r="AB63" s="133"/>
      <c r="AC63" s="133"/>
      <c r="AD63" s="133"/>
      <c r="AE63" s="133"/>
      <c r="AF63" s="133"/>
      <c r="AG63" s="133"/>
      <c r="AH63" s="133"/>
      <c r="AI63" s="133"/>
      <c r="AJ63" s="133"/>
      <c r="AK63" s="133"/>
      <c r="AL63" s="133"/>
      <c r="AM63" s="133"/>
      <c r="AN63" s="133"/>
      <c r="AO63" s="133"/>
    </row>
    <row r="64">
      <c r="A64" s="202"/>
      <c r="B64" s="137"/>
      <c r="C64" s="133"/>
      <c r="D64" s="133"/>
      <c r="E64" s="133"/>
      <c r="F64" s="133"/>
      <c r="G64" s="133"/>
      <c r="H64" s="133"/>
      <c r="I64" s="880"/>
      <c r="J64" s="133"/>
      <c r="K64" s="133"/>
      <c r="L64" s="133"/>
      <c r="M64" s="133"/>
      <c r="N64" s="133"/>
      <c r="O64" s="133"/>
      <c r="P64" s="133"/>
      <c r="Q64" s="133"/>
      <c r="R64" s="133"/>
      <c r="S64" s="133"/>
      <c r="T64" s="199"/>
      <c r="U64" s="133"/>
      <c r="V64" s="133"/>
      <c r="W64" s="133"/>
      <c r="X64" s="133"/>
      <c r="Y64" s="133"/>
      <c r="Z64" s="133"/>
      <c r="AA64" s="133"/>
      <c r="AB64" s="133"/>
      <c r="AC64" s="133"/>
      <c r="AD64" s="133"/>
      <c r="AE64" s="133"/>
      <c r="AF64" s="133"/>
      <c r="AG64" s="133"/>
      <c r="AH64" s="133"/>
      <c r="AI64" s="133"/>
      <c r="AJ64" s="133"/>
      <c r="AK64" s="133"/>
      <c r="AL64" s="133"/>
      <c r="AM64" s="133"/>
      <c r="AN64" s="133"/>
      <c r="AO64" s="133"/>
    </row>
    <row r="65">
      <c r="B65" s="138"/>
      <c r="I65" s="896"/>
      <c r="M65" s="408"/>
      <c r="N65" s="408"/>
      <c r="O65" s="944"/>
      <c r="P65" s="408"/>
      <c r="Q65" s="408"/>
      <c r="R65" s="944"/>
      <c r="S65" s="133"/>
      <c r="T65" s="199"/>
    </row>
    <row r="66">
      <c r="B66" s="634"/>
      <c r="C66" s="945" t="s">
        <v>1628</v>
      </c>
      <c r="D66" s="945" t="s">
        <v>1629</v>
      </c>
      <c r="E66" s="946" t="s">
        <v>1630</v>
      </c>
      <c r="F66" s="945" t="s">
        <v>1631</v>
      </c>
      <c r="G66" s="947" t="s">
        <v>1632</v>
      </c>
      <c r="I66" s="896"/>
      <c r="O66" s="133"/>
      <c r="P66" s="133"/>
      <c r="Q66" s="133"/>
      <c r="R66" s="133"/>
      <c r="S66" s="133"/>
      <c r="T66" s="133"/>
    </row>
    <row r="67">
      <c r="B67" s="948" t="s">
        <v>1618</v>
      </c>
      <c r="C67" s="949">
        <f t="shared" ref="C67:C76" si="22">SUM(B49:G49)</f>
        <v>274</v>
      </c>
      <c r="D67" s="950">
        <f t="shared" ref="D67:D76" si="23">SUM(H49:L49)</f>
        <v>180</v>
      </c>
      <c r="E67" s="951">
        <f t="shared" ref="E67:E76" si="24">SUM(M49:R49)</f>
        <v>252</v>
      </c>
      <c r="F67" s="952">
        <f t="shared" ref="F67:F76" si="25">SUM(R49:W49)</f>
        <v>93</v>
      </c>
      <c r="G67" s="951">
        <f t="shared" ref="G67:G76" si="26">SUM(C67:F67)</f>
        <v>799</v>
      </c>
      <c r="I67" s="896"/>
      <c r="O67" s="133"/>
      <c r="P67" s="133"/>
      <c r="Q67" s="133"/>
      <c r="R67" s="133"/>
      <c r="S67" s="133"/>
      <c r="T67" s="133"/>
    </row>
    <row r="68">
      <c r="B68" s="953" t="s">
        <v>1619</v>
      </c>
      <c r="C68" s="949">
        <f t="shared" si="22"/>
        <v>252</v>
      </c>
      <c r="D68" s="954">
        <f t="shared" si="23"/>
        <v>209</v>
      </c>
      <c r="E68" s="955">
        <f t="shared" si="24"/>
        <v>251</v>
      </c>
      <c r="F68" s="949">
        <f t="shared" si="25"/>
        <v>108</v>
      </c>
      <c r="G68" s="955">
        <f t="shared" si="26"/>
        <v>820</v>
      </c>
      <c r="I68" s="896"/>
      <c r="O68" s="133"/>
      <c r="P68" s="133"/>
      <c r="Q68" s="133"/>
      <c r="R68" s="133"/>
      <c r="S68" s="133"/>
      <c r="T68" s="880"/>
    </row>
    <row r="69">
      <c r="B69" s="953" t="s">
        <v>1620</v>
      </c>
      <c r="C69" s="949">
        <f t="shared" si="22"/>
        <v>239</v>
      </c>
      <c r="D69" s="954">
        <f t="shared" si="23"/>
        <v>262</v>
      </c>
      <c r="E69" s="955">
        <f t="shared" si="24"/>
        <v>178</v>
      </c>
      <c r="F69" s="949">
        <f t="shared" si="25"/>
        <v>37</v>
      </c>
      <c r="G69" s="955">
        <f t="shared" si="26"/>
        <v>716</v>
      </c>
      <c r="I69" s="896"/>
    </row>
    <row r="70">
      <c r="B70" s="953" t="s">
        <v>1621</v>
      </c>
      <c r="C70" s="949">
        <f t="shared" si="22"/>
        <v>145</v>
      </c>
      <c r="D70" s="954">
        <f t="shared" si="23"/>
        <v>190</v>
      </c>
      <c r="E70" s="955">
        <f t="shared" si="24"/>
        <v>165</v>
      </c>
      <c r="F70" s="949">
        <f t="shared" si="25"/>
        <v>72</v>
      </c>
      <c r="G70" s="955">
        <f t="shared" si="26"/>
        <v>572</v>
      </c>
      <c r="I70" s="896"/>
    </row>
    <row r="71">
      <c r="B71" s="956" t="s">
        <v>1622</v>
      </c>
      <c r="C71" s="949">
        <f t="shared" si="22"/>
        <v>184</v>
      </c>
      <c r="D71" s="954">
        <f t="shared" si="23"/>
        <v>215</v>
      </c>
      <c r="E71" s="955">
        <f t="shared" si="24"/>
        <v>110</v>
      </c>
      <c r="F71" s="949">
        <f t="shared" si="25"/>
        <v>0</v>
      </c>
      <c r="G71" s="955">
        <f t="shared" si="26"/>
        <v>509</v>
      </c>
      <c r="I71" s="896"/>
    </row>
    <row r="72">
      <c r="B72" s="957" t="s">
        <v>1623</v>
      </c>
      <c r="C72" s="949">
        <f t="shared" si="22"/>
        <v>209</v>
      </c>
      <c r="D72" s="954">
        <f t="shared" si="23"/>
        <v>138</v>
      </c>
      <c r="E72" s="955">
        <f t="shared" si="24"/>
        <v>170</v>
      </c>
      <c r="F72" s="949">
        <f t="shared" si="25"/>
        <v>57</v>
      </c>
      <c r="G72" s="955">
        <f t="shared" si="26"/>
        <v>574</v>
      </c>
      <c r="I72" s="896"/>
    </row>
    <row r="73">
      <c r="B73" s="958" t="s">
        <v>1624</v>
      </c>
      <c r="C73" s="949">
        <f t="shared" si="22"/>
        <v>51</v>
      </c>
      <c r="D73" s="954">
        <f t="shared" si="23"/>
        <v>63</v>
      </c>
      <c r="E73" s="955">
        <f t="shared" si="24"/>
        <v>55</v>
      </c>
      <c r="F73" s="949">
        <f t="shared" si="25"/>
        <v>21</v>
      </c>
      <c r="G73" s="955">
        <f t="shared" si="26"/>
        <v>190</v>
      </c>
      <c r="I73" s="896"/>
    </row>
    <row r="74">
      <c r="B74" s="959" t="s">
        <v>1625</v>
      </c>
      <c r="C74" s="949">
        <f t="shared" si="22"/>
        <v>15</v>
      </c>
      <c r="D74" s="954">
        <f t="shared" si="23"/>
        <v>31</v>
      </c>
      <c r="E74" s="955">
        <f t="shared" si="24"/>
        <v>26</v>
      </c>
      <c r="F74" s="949">
        <f t="shared" si="25"/>
        <v>0</v>
      </c>
      <c r="G74" s="955">
        <f t="shared" si="26"/>
        <v>72</v>
      </c>
      <c r="I74" s="896"/>
    </row>
    <row r="75">
      <c r="B75" s="959" t="s">
        <v>1626</v>
      </c>
      <c r="C75" s="949">
        <f t="shared" si="22"/>
        <v>40</v>
      </c>
      <c r="D75" s="954">
        <f t="shared" si="23"/>
        <v>77</v>
      </c>
      <c r="E75" s="955">
        <f t="shared" si="24"/>
        <v>92</v>
      </c>
      <c r="F75" s="949">
        <f t="shared" si="25"/>
        <v>8</v>
      </c>
      <c r="G75" s="955">
        <f t="shared" si="26"/>
        <v>217</v>
      </c>
      <c r="I75" s="896"/>
    </row>
    <row r="76">
      <c r="B76" s="960" t="s">
        <v>1627</v>
      </c>
      <c r="C76" s="961">
        <f t="shared" si="22"/>
        <v>2</v>
      </c>
      <c r="D76" s="962">
        <f t="shared" si="23"/>
        <v>16</v>
      </c>
      <c r="E76" s="963">
        <f t="shared" si="24"/>
        <v>33</v>
      </c>
      <c r="F76" s="961">
        <f t="shared" si="25"/>
        <v>3</v>
      </c>
      <c r="G76" s="963">
        <f t="shared" si="26"/>
        <v>54</v>
      </c>
      <c r="I76" s="896"/>
    </row>
    <row r="77">
      <c r="B77" s="138"/>
      <c r="I77" s="896"/>
    </row>
    <row r="78">
      <c r="B78" s="138"/>
      <c r="I78" s="896"/>
    </row>
    <row r="79">
      <c r="B79" s="138"/>
      <c r="I79" s="896"/>
    </row>
    <row r="80">
      <c r="B80" s="138"/>
      <c r="I80" s="896"/>
    </row>
    <row r="81">
      <c r="B81" s="138"/>
      <c r="I81" s="896"/>
    </row>
  </sheetData>
  <mergeCells count="15">
    <mergeCell ref="I3:J3"/>
    <mergeCell ref="K3:L3"/>
    <mergeCell ref="M3:N3"/>
    <mergeCell ref="O3:P3"/>
    <mergeCell ref="Q3:R3"/>
    <mergeCell ref="S3:T3"/>
    <mergeCell ref="U3:W3"/>
    <mergeCell ref="X3:Y3"/>
    <mergeCell ref="B2:G2"/>
    <mergeCell ref="H2:L2"/>
    <mergeCell ref="M2:R2"/>
    <mergeCell ref="S2:Y2"/>
    <mergeCell ref="B3:C3"/>
    <mergeCell ref="D3:E3"/>
    <mergeCell ref="F3:G3"/>
  </mergeCells>
  <conditionalFormatting sqref="Z1:AO29 Z31:AO58 Z60:AO81">
    <cfRule type="notContainsBlanks" dxfId="2" priority="1">
      <formula>LEN(TRIM(Z1))&gt;0</formula>
    </cfRule>
  </conditionalFormatting>
  <dataValidations>
    <dataValidation type="list" allowBlank="1" showErrorMessage="1" sqref="B24:Y24 B32:Y32">
      <formula1>"0%,100%"</formula1>
    </dataValidation>
  </dataValidations>
  <drawing r:id="rId2"/>
  <legacyDrawing r:id="rId3"/>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2.63" defaultRowHeight="15.75"/>
  <cols>
    <col customWidth="1" min="1" max="1" width="32.75"/>
    <col customWidth="1" min="2" max="2" width="14.75"/>
    <col customWidth="1" min="5" max="5" width="14.0"/>
    <col customWidth="1" min="9" max="9" width="24.13"/>
    <col customWidth="1" min="10" max="10" width="24.25"/>
    <col customWidth="1" min="11" max="11" width="23.0"/>
    <col customWidth="1" min="12" max="12" width="19.75"/>
    <col customWidth="1" min="13" max="13" width="21.63"/>
    <col customWidth="1" min="14" max="14" width="20.75"/>
    <col customWidth="1" min="15" max="15" width="20.63"/>
    <col customWidth="1" min="16" max="16" width="18.63"/>
    <col customWidth="1" min="17" max="17" width="24.5"/>
    <col customWidth="1" min="18" max="18" width="29.13"/>
    <col customWidth="1" min="19" max="19" width="24.88"/>
    <col customWidth="1" min="20" max="20" width="26.5"/>
    <col customWidth="1" min="27" max="27" width="13.5"/>
  </cols>
  <sheetData>
    <row r="1" ht="30.0" customHeight="1">
      <c r="A1" s="1" t="s">
        <v>1633</v>
      </c>
      <c r="B1" s="2"/>
      <c r="C1" s="3"/>
      <c r="D1" s="3"/>
      <c r="E1" s="3"/>
      <c r="F1" s="3"/>
      <c r="G1" s="3"/>
      <c r="H1" s="3"/>
      <c r="I1" s="3"/>
      <c r="J1" s="3"/>
      <c r="K1" s="3"/>
      <c r="L1" s="3"/>
      <c r="M1" s="3"/>
      <c r="N1" s="3"/>
      <c r="O1" s="3"/>
      <c r="P1" s="4"/>
      <c r="Q1" s="4"/>
      <c r="R1" s="4"/>
      <c r="S1" s="5"/>
      <c r="T1" s="4"/>
      <c r="U1" s="4"/>
      <c r="V1" s="4"/>
      <c r="W1" s="4"/>
      <c r="X1" s="4"/>
      <c r="Y1" s="4"/>
      <c r="Z1" s="4"/>
      <c r="AA1" s="4"/>
      <c r="AB1" s="4"/>
      <c r="AC1" s="4"/>
      <c r="AD1" s="4"/>
      <c r="AE1" s="4"/>
      <c r="AF1" s="4"/>
      <c r="AG1" s="4"/>
      <c r="AH1" s="4"/>
      <c r="AI1" s="4"/>
      <c r="AJ1" s="4"/>
      <c r="AK1" s="4"/>
      <c r="AL1" s="4"/>
      <c r="AM1" s="4"/>
      <c r="AN1" s="4"/>
      <c r="AO1" s="4"/>
    </row>
    <row r="2">
      <c r="A2" s="6" t="s">
        <v>1</v>
      </c>
      <c r="B2" s="7" t="s">
        <v>2</v>
      </c>
      <c r="C2" s="8"/>
      <c r="D2" s="8"/>
      <c r="E2" s="8"/>
      <c r="F2" s="8"/>
      <c r="G2" s="9"/>
      <c r="H2" s="10" t="s">
        <v>3</v>
      </c>
      <c r="I2" s="8"/>
      <c r="J2" s="8"/>
      <c r="K2" s="8"/>
      <c r="L2" s="8"/>
      <c r="M2" s="9"/>
      <c r="N2" s="10" t="s">
        <v>4</v>
      </c>
      <c r="O2" s="8"/>
      <c r="P2" s="8"/>
      <c r="Q2" s="8"/>
      <c r="R2" s="8"/>
      <c r="S2" s="9"/>
      <c r="T2" s="11" t="s">
        <v>5</v>
      </c>
      <c r="U2" s="8"/>
      <c r="V2" s="8"/>
      <c r="W2" s="8"/>
      <c r="X2" s="8"/>
      <c r="Y2" s="8"/>
      <c r="Z2" s="9"/>
      <c r="AA2" s="12"/>
      <c r="AB2" s="12"/>
      <c r="AC2" s="12"/>
      <c r="AD2" s="12"/>
      <c r="AE2" s="12"/>
      <c r="AF2" s="12"/>
      <c r="AG2" s="12"/>
      <c r="AH2" s="12"/>
      <c r="AI2" s="12"/>
      <c r="AJ2" s="12"/>
      <c r="AK2" s="12"/>
      <c r="AL2" s="12"/>
      <c r="AM2" s="12"/>
      <c r="AN2" s="12"/>
      <c r="AO2" s="12"/>
    </row>
    <row r="3">
      <c r="A3" s="6" t="s">
        <v>6</v>
      </c>
      <c r="B3" s="13" t="s">
        <v>7</v>
      </c>
      <c r="C3" s="14"/>
      <c r="D3" s="15" t="s">
        <v>8</v>
      </c>
      <c r="E3" s="9"/>
      <c r="F3" s="10" t="s">
        <v>9</v>
      </c>
      <c r="G3" s="9"/>
      <c r="H3" s="15" t="s">
        <v>10</v>
      </c>
      <c r="I3" s="9"/>
      <c r="J3" s="10" t="s">
        <v>11</v>
      </c>
      <c r="K3" s="9"/>
      <c r="L3" s="10" t="s">
        <v>12</v>
      </c>
      <c r="M3" s="9"/>
      <c r="N3" s="10" t="s">
        <v>13</v>
      </c>
      <c r="O3" s="9"/>
      <c r="P3" s="15" t="s">
        <v>14</v>
      </c>
      <c r="Q3" s="9"/>
      <c r="R3" s="10" t="s">
        <v>15</v>
      </c>
      <c r="S3" s="9"/>
      <c r="T3" s="17" t="s">
        <v>16</v>
      </c>
      <c r="U3" s="9"/>
      <c r="V3" s="10" t="s">
        <v>17</v>
      </c>
      <c r="W3" s="8"/>
      <c r="X3" s="9"/>
      <c r="Y3" s="16" t="s">
        <v>18</v>
      </c>
      <c r="Z3" s="9"/>
      <c r="AA3" s="12"/>
      <c r="AB3" s="12"/>
      <c r="AC3" s="12"/>
      <c r="AD3" s="12"/>
      <c r="AE3" s="12"/>
      <c r="AF3" s="12"/>
      <c r="AG3" s="12"/>
      <c r="AH3" s="12"/>
      <c r="AI3" s="12"/>
      <c r="AJ3" s="12"/>
      <c r="AK3" s="12"/>
      <c r="AL3" s="12"/>
      <c r="AM3" s="12"/>
      <c r="AN3" s="12"/>
      <c r="AO3" s="12"/>
    </row>
    <row r="4">
      <c r="A4" s="6" t="s">
        <v>19</v>
      </c>
      <c r="B4" s="18"/>
      <c r="C4" s="18"/>
      <c r="D4" s="18"/>
      <c r="E4" s="18"/>
      <c r="F4" s="18"/>
      <c r="G4" s="18"/>
      <c r="H4" s="19"/>
      <c r="I4" s="206" t="s">
        <v>1634</v>
      </c>
      <c r="J4" s="206" t="s">
        <v>1635</v>
      </c>
      <c r="K4" s="206" t="s">
        <v>1636</v>
      </c>
      <c r="L4" s="206" t="s">
        <v>1637</v>
      </c>
      <c r="M4" s="206" t="s">
        <v>1638</v>
      </c>
      <c r="N4" s="206" t="s">
        <v>1639</v>
      </c>
      <c r="O4" s="206" t="s">
        <v>1640</v>
      </c>
      <c r="P4" s="206" t="s">
        <v>1641</v>
      </c>
      <c r="Q4" s="206" t="s">
        <v>1642</v>
      </c>
      <c r="R4" s="206" t="s">
        <v>1643</v>
      </c>
      <c r="S4" s="206" t="s">
        <v>1644</v>
      </c>
      <c r="T4" s="206" t="s">
        <v>1645</v>
      </c>
      <c r="U4" s="19"/>
      <c r="V4" s="19"/>
      <c r="W4" s="19"/>
      <c r="X4" s="19"/>
      <c r="Y4" s="19"/>
      <c r="Z4" s="21"/>
      <c r="AA4" s="12"/>
      <c r="AB4" s="12"/>
      <c r="AC4" s="12"/>
      <c r="AD4" s="12"/>
      <c r="AE4" s="12"/>
      <c r="AF4" s="12"/>
      <c r="AG4" s="12"/>
      <c r="AH4" s="12"/>
      <c r="AI4" s="12"/>
      <c r="AJ4" s="12"/>
      <c r="AK4" s="12"/>
      <c r="AL4" s="12"/>
      <c r="AM4" s="12"/>
      <c r="AN4" s="12"/>
      <c r="AO4" s="12"/>
    </row>
    <row r="5">
      <c r="A5" s="22" t="s">
        <v>20</v>
      </c>
      <c r="B5" s="23"/>
      <c r="C5" s="23"/>
      <c r="D5" s="23"/>
      <c r="E5" s="23"/>
      <c r="F5" s="23"/>
      <c r="G5" s="23"/>
      <c r="H5" s="23"/>
      <c r="I5" s="23" t="s">
        <v>1646</v>
      </c>
      <c r="J5" s="23" t="s">
        <v>1647</v>
      </c>
      <c r="K5" s="23" t="s">
        <v>1648</v>
      </c>
      <c r="L5" s="23" t="s">
        <v>1649</v>
      </c>
      <c r="M5" s="24" t="s">
        <v>1650</v>
      </c>
      <c r="N5" s="24" t="s">
        <v>1651</v>
      </c>
      <c r="O5" s="25" t="s">
        <v>1652</v>
      </c>
      <c r="P5" s="25" t="s">
        <v>1653</v>
      </c>
      <c r="Q5" s="25" t="s">
        <v>1654</v>
      </c>
      <c r="R5" s="25" t="s">
        <v>1655</v>
      </c>
      <c r="S5" s="25" t="s">
        <v>550</v>
      </c>
      <c r="T5" s="25" t="s">
        <v>551</v>
      </c>
      <c r="U5" s="25"/>
      <c r="V5" s="24"/>
      <c r="W5" s="24"/>
      <c r="X5" s="24"/>
      <c r="Y5" s="25"/>
      <c r="Z5" s="25"/>
      <c r="AA5" s="27"/>
      <c r="AB5" s="28"/>
      <c r="AC5" s="28"/>
      <c r="AD5" s="28"/>
      <c r="AE5" s="28"/>
      <c r="AF5" s="28"/>
      <c r="AG5" s="28"/>
      <c r="AH5" s="28"/>
      <c r="AI5" s="28"/>
      <c r="AJ5" s="28"/>
      <c r="AK5" s="28"/>
      <c r="AL5" s="28"/>
      <c r="AM5" s="28"/>
      <c r="AN5" s="28"/>
      <c r="AO5" s="28"/>
    </row>
    <row r="6">
      <c r="A6" s="29"/>
      <c r="B6" s="30"/>
      <c r="T6" s="31"/>
    </row>
    <row r="7">
      <c r="A7" s="32" t="s">
        <v>21</v>
      </c>
      <c r="B7" s="33"/>
      <c r="C7" s="34"/>
      <c r="D7" s="34"/>
      <c r="E7" s="34"/>
      <c r="F7" s="34"/>
      <c r="G7" s="34"/>
      <c r="H7" s="34"/>
      <c r="I7" s="34">
        <v>76.0</v>
      </c>
      <c r="J7" s="34">
        <v>131.0</v>
      </c>
      <c r="K7" s="34">
        <v>131.0</v>
      </c>
      <c r="L7" s="34">
        <v>141.0</v>
      </c>
      <c r="M7" s="34">
        <v>71.0</v>
      </c>
      <c r="N7" s="34">
        <v>147.0</v>
      </c>
      <c r="O7" s="34">
        <v>123.0</v>
      </c>
      <c r="P7" s="34">
        <v>126.0</v>
      </c>
      <c r="Q7" s="34">
        <v>135.0</v>
      </c>
      <c r="R7" s="34">
        <v>125.0</v>
      </c>
      <c r="S7" s="35">
        <v>199.0</v>
      </c>
      <c r="T7" s="36">
        <v>188.0</v>
      </c>
      <c r="U7" s="34"/>
      <c r="V7" s="34"/>
      <c r="W7" s="34"/>
      <c r="X7" s="34"/>
      <c r="Y7" s="34"/>
      <c r="Z7" s="34"/>
    </row>
    <row r="8">
      <c r="A8" s="37" t="s">
        <v>22</v>
      </c>
      <c r="B8" s="38"/>
      <c r="C8" s="39"/>
      <c r="D8" s="39"/>
      <c r="E8" s="39"/>
      <c r="F8" s="39"/>
      <c r="G8" s="39"/>
      <c r="H8" s="39"/>
      <c r="I8" s="39">
        <v>76.0</v>
      </c>
      <c r="J8" s="39">
        <v>118.0</v>
      </c>
      <c r="K8" s="39">
        <v>118.0</v>
      </c>
      <c r="L8" s="39">
        <v>128.0</v>
      </c>
      <c r="M8" s="39">
        <v>71.0</v>
      </c>
      <c r="N8" s="39">
        <v>147.0</v>
      </c>
      <c r="O8" s="39">
        <v>110.0</v>
      </c>
      <c r="P8" s="39">
        <v>126.0</v>
      </c>
      <c r="Q8" s="39">
        <v>135.0</v>
      </c>
      <c r="R8" s="39">
        <v>122.0</v>
      </c>
      <c r="S8" s="40">
        <v>186.0</v>
      </c>
      <c r="T8" s="41">
        <v>184.0</v>
      </c>
      <c r="U8" s="39"/>
      <c r="V8" s="39"/>
      <c r="W8" s="39"/>
      <c r="X8" s="39"/>
      <c r="Y8" s="39"/>
      <c r="Z8" s="39"/>
    </row>
    <row r="9">
      <c r="A9" s="37" t="s">
        <v>23</v>
      </c>
      <c r="B9" s="38"/>
      <c r="C9" s="39"/>
      <c r="D9" s="39"/>
      <c r="E9" s="39"/>
      <c r="F9" s="39"/>
      <c r="G9" s="39"/>
      <c r="H9" s="39"/>
      <c r="I9" s="39">
        <v>0.0</v>
      </c>
      <c r="J9" s="39">
        <v>13.0</v>
      </c>
      <c r="K9" s="39">
        <v>13.0</v>
      </c>
      <c r="L9" s="39">
        <v>13.0</v>
      </c>
      <c r="M9" s="39">
        <v>0.0</v>
      </c>
      <c r="N9" s="39">
        <v>0.0</v>
      </c>
      <c r="O9" s="39">
        <v>13.0</v>
      </c>
      <c r="P9" s="39">
        <v>0.0</v>
      </c>
      <c r="Q9" s="39">
        <v>0.0</v>
      </c>
      <c r="R9" s="39">
        <v>3.0</v>
      </c>
      <c r="S9" s="40">
        <v>13.0</v>
      </c>
      <c r="T9" s="41">
        <v>4.0</v>
      </c>
      <c r="U9" s="41"/>
      <c r="V9" s="41"/>
      <c r="W9" s="41"/>
      <c r="X9" s="41"/>
      <c r="Y9" s="41"/>
      <c r="Z9" s="41"/>
    </row>
    <row r="10">
      <c r="A10" s="42" t="s">
        <v>24</v>
      </c>
      <c r="B10" s="43">
        <f t="shared" ref="B10:K10" si="1">IFERROR(B9/B7, 0)</f>
        <v>0</v>
      </c>
      <c r="C10" s="43">
        <f t="shared" si="1"/>
        <v>0</v>
      </c>
      <c r="D10" s="43">
        <f t="shared" si="1"/>
        <v>0</v>
      </c>
      <c r="E10" s="43">
        <f t="shared" si="1"/>
        <v>0</v>
      </c>
      <c r="F10" s="43">
        <f t="shared" si="1"/>
        <v>0</v>
      </c>
      <c r="G10" s="43">
        <f t="shared" si="1"/>
        <v>0</v>
      </c>
      <c r="H10" s="43">
        <f t="shared" si="1"/>
        <v>0</v>
      </c>
      <c r="I10" s="43">
        <f t="shared" si="1"/>
        <v>0</v>
      </c>
      <c r="J10" s="43">
        <f t="shared" si="1"/>
        <v>0.09923664122</v>
      </c>
      <c r="K10" s="43">
        <f t="shared" si="1"/>
        <v>0.09923664122</v>
      </c>
      <c r="L10" s="43">
        <v>0.09</v>
      </c>
      <c r="M10" s="43">
        <v>0.0</v>
      </c>
      <c r="N10" s="43">
        <v>0.0</v>
      </c>
      <c r="O10" s="43">
        <v>0.11</v>
      </c>
      <c r="P10" s="43">
        <v>0.0</v>
      </c>
      <c r="Q10" s="43">
        <v>0.0</v>
      </c>
      <c r="R10" s="43">
        <v>0.02</v>
      </c>
      <c r="S10" s="43">
        <v>0.07</v>
      </c>
      <c r="T10" s="43">
        <v>0.02</v>
      </c>
      <c r="U10" s="45"/>
      <c r="V10" s="45"/>
      <c r="W10" s="45"/>
      <c r="X10" s="45"/>
      <c r="Y10" s="45"/>
      <c r="Z10" s="45"/>
    </row>
    <row r="11">
      <c r="A11" s="40"/>
      <c r="B11" s="46"/>
      <c r="C11" s="40"/>
      <c r="D11" s="40"/>
      <c r="E11" s="40"/>
      <c r="F11" s="40"/>
      <c r="G11" s="40"/>
      <c r="H11" s="40"/>
      <c r="I11" s="40"/>
      <c r="J11" s="40"/>
      <c r="K11" s="40"/>
      <c r="L11" s="40"/>
      <c r="M11" s="40"/>
      <c r="N11" s="40"/>
      <c r="O11" s="40"/>
      <c r="P11" s="40"/>
      <c r="Q11" s="40"/>
      <c r="R11" s="40"/>
      <c r="S11" s="40"/>
      <c r="T11" s="47"/>
      <c r="U11" s="40"/>
      <c r="V11" s="40"/>
      <c r="W11" s="40"/>
      <c r="X11" s="40"/>
      <c r="Y11" s="40"/>
      <c r="Z11" s="40"/>
    </row>
    <row r="12">
      <c r="A12" s="48" t="s">
        <v>25</v>
      </c>
      <c r="B12" s="49"/>
      <c r="C12" s="50"/>
      <c r="D12" s="50"/>
      <c r="E12" s="50"/>
      <c r="F12" s="50"/>
      <c r="G12" s="50"/>
      <c r="H12" s="50"/>
      <c r="I12" s="50">
        <v>0.0</v>
      </c>
      <c r="J12" s="50">
        <v>3.0</v>
      </c>
      <c r="K12" s="50">
        <v>8.0</v>
      </c>
      <c r="L12" s="50">
        <v>0.0</v>
      </c>
      <c r="M12" s="50">
        <v>0.0</v>
      </c>
      <c r="N12" s="50">
        <v>8.0</v>
      </c>
      <c r="O12" s="50">
        <v>0.0</v>
      </c>
      <c r="P12" s="50">
        <v>0.0</v>
      </c>
      <c r="Q12" s="50">
        <v>5.0</v>
      </c>
      <c r="R12" s="50">
        <v>3.0</v>
      </c>
      <c r="S12" s="51">
        <v>34.0</v>
      </c>
      <c r="T12" s="52">
        <v>29.0</v>
      </c>
      <c r="U12" s="50"/>
      <c r="V12" s="50"/>
      <c r="W12" s="50"/>
      <c r="X12" s="50"/>
      <c r="Y12" s="50"/>
      <c r="Z12" s="50"/>
    </row>
    <row r="13">
      <c r="A13" s="53" t="s">
        <v>26</v>
      </c>
      <c r="B13" s="54"/>
      <c r="C13" s="55"/>
      <c r="D13" s="55"/>
      <c r="E13" s="55"/>
      <c r="F13" s="55"/>
      <c r="G13" s="55"/>
      <c r="H13" s="55"/>
      <c r="I13" s="55">
        <v>0.0</v>
      </c>
      <c r="J13" s="55">
        <v>3.0</v>
      </c>
      <c r="K13" s="55">
        <v>8.0</v>
      </c>
      <c r="L13" s="55">
        <v>0.0</v>
      </c>
      <c r="M13" s="55">
        <v>0.0</v>
      </c>
      <c r="N13" s="55">
        <v>8.0</v>
      </c>
      <c r="O13" s="55">
        <v>0.0</v>
      </c>
      <c r="P13" s="55">
        <v>0.0</v>
      </c>
      <c r="Q13" s="55">
        <v>5.0</v>
      </c>
      <c r="R13" s="55">
        <v>0.0</v>
      </c>
      <c r="S13" s="56">
        <v>34.0</v>
      </c>
      <c r="T13" s="57">
        <v>29.0</v>
      </c>
      <c r="U13" s="55"/>
      <c r="V13" s="55"/>
      <c r="W13" s="55"/>
      <c r="X13" s="55"/>
      <c r="Y13" s="55"/>
      <c r="Z13" s="55"/>
    </row>
    <row r="14">
      <c r="A14" s="58" t="s">
        <v>27</v>
      </c>
      <c r="B14" s="59"/>
      <c r="C14" s="60"/>
      <c r="D14" s="60"/>
      <c r="E14" s="60"/>
      <c r="F14" s="60"/>
      <c r="G14" s="60"/>
      <c r="H14" s="60"/>
      <c r="I14" s="60">
        <v>0.0</v>
      </c>
      <c r="J14" s="60">
        <v>0.0</v>
      </c>
      <c r="K14" s="60">
        <v>0.0</v>
      </c>
      <c r="L14" s="60">
        <v>0.0</v>
      </c>
      <c r="M14" s="60">
        <v>0.0</v>
      </c>
      <c r="N14" s="60">
        <v>0.0</v>
      </c>
      <c r="O14" s="60">
        <v>0.0</v>
      </c>
      <c r="P14" s="60">
        <v>0.0</v>
      </c>
      <c r="Q14" s="60">
        <v>0.0</v>
      </c>
      <c r="R14" s="60">
        <v>3.0</v>
      </c>
      <c r="S14" s="61">
        <v>0.0</v>
      </c>
      <c r="T14" s="62">
        <v>0.0</v>
      </c>
      <c r="U14" s="60"/>
      <c r="V14" s="60"/>
      <c r="W14" s="60"/>
      <c r="X14" s="60"/>
      <c r="Y14" s="60"/>
      <c r="Z14" s="60"/>
    </row>
    <row r="15">
      <c r="A15" s="56"/>
      <c r="B15" s="63"/>
      <c r="C15" s="56"/>
      <c r="D15" s="56"/>
      <c r="E15" s="56"/>
      <c r="F15" s="56"/>
      <c r="G15" s="56"/>
      <c r="H15" s="56"/>
      <c r="I15" s="56"/>
      <c r="J15" s="56"/>
      <c r="K15" s="56"/>
      <c r="L15" s="56"/>
      <c r="M15" s="56"/>
      <c r="N15" s="56"/>
      <c r="O15" s="56"/>
      <c r="P15" s="56"/>
      <c r="Q15" s="56"/>
      <c r="R15" s="56"/>
      <c r="S15" s="56"/>
      <c r="T15" s="64"/>
      <c r="U15" s="56"/>
      <c r="V15" s="56"/>
      <c r="W15" s="56"/>
      <c r="X15" s="56"/>
      <c r="Y15" s="56"/>
      <c r="Z15" s="56"/>
    </row>
    <row r="16">
      <c r="A16" s="65" t="s">
        <v>28</v>
      </c>
      <c r="B16" s="66"/>
      <c r="C16" s="65"/>
      <c r="D16" s="65"/>
      <c r="E16" s="65"/>
      <c r="F16" s="65"/>
      <c r="G16" s="65"/>
      <c r="H16" s="65"/>
      <c r="I16" s="65"/>
      <c r="J16" s="65"/>
      <c r="K16" s="65"/>
      <c r="L16" s="65"/>
      <c r="M16" s="65"/>
      <c r="N16" s="65"/>
      <c r="O16" s="65"/>
      <c r="P16" s="65"/>
      <c r="Q16" s="65"/>
      <c r="R16" s="65"/>
      <c r="S16" s="67"/>
      <c r="T16" s="68"/>
      <c r="U16" s="65"/>
      <c r="V16" s="65"/>
      <c r="W16" s="65"/>
      <c r="X16" s="65"/>
      <c r="Y16" s="65"/>
      <c r="Z16" s="65"/>
    </row>
    <row r="17">
      <c r="A17" s="65" t="s">
        <v>29</v>
      </c>
      <c r="B17" s="66"/>
      <c r="C17" s="65"/>
      <c r="D17" s="65"/>
      <c r="E17" s="65"/>
      <c r="F17" s="65"/>
      <c r="G17" s="65"/>
      <c r="H17" s="65"/>
      <c r="I17" s="65"/>
      <c r="J17" s="65"/>
      <c r="K17" s="65"/>
      <c r="L17" s="65"/>
      <c r="M17" s="65"/>
      <c r="N17" s="65"/>
      <c r="O17" s="65"/>
      <c r="P17" s="65"/>
      <c r="Q17" s="65"/>
      <c r="R17" s="65"/>
      <c r="S17" s="67"/>
      <c r="T17" s="68"/>
      <c r="U17" s="65"/>
      <c r="V17" s="65"/>
      <c r="W17" s="65"/>
      <c r="X17" s="65"/>
      <c r="Y17" s="65"/>
      <c r="Z17" s="65"/>
    </row>
    <row r="18">
      <c r="A18" s="69" t="s">
        <v>30</v>
      </c>
      <c r="B18" s="70"/>
      <c r="C18" s="69"/>
      <c r="D18" s="69"/>
      <c r="E18" s="69"/>
      <c r="F18" s="69"/>
      <c r="G18" s="69"/>
      <c r="H18" s="69"/>
      <c r="I18" s="69">
        <v>34.0</v>
      </c>
      <c r="J18" s="69">
        <v>76.0</v>
      </c>
      <c r="K18" s="69">
        <v>79.0</v>
      </c>
      <c r="L18" s="69">
        <v>96.0</v>
      </c>
      <c r="M18" s="69">
        <v>34.0</v>
      </c>
      <c r="N18" s="69">
        <v>139.0</v>
      </c>
      <c r="O18" s="69">
        <v>34.0</v>
      </c>
      <c r="P18" s="69">
        <v>61.0</v>
      </c>
      <c r="Q18" s="69">
        <v>23.0</v>
      </c>
      <c r="R18" s="69">
        <v>75.0</v>
      </c>
      <c r="S18" s="69">
        <v>43.0</v>
      </c>
      <c r="T18" s="71">
        <v>57.0</v>
      </c>
      <c r="U18" s="69"/>
      <c r="V18" s="69"/>
      <c r="W18" s="69"/>
      <c r="X18" s="69"/>
      <c r="Y18" s="69"/>
      <c r="Z18" s="72"/>
      <c r="AA18" s="73"/>
      <c r="AB18" s="73"/>
      <c r="AC18" s="73"/>
      <c r="AD18" s="73"/>
      <c r="AE18" s="73"/>
      <c r="AF18" s="73"/>
      <c r="AG18" s="73"/>
      <c r="AH18" s="73"/>
      <c r="AI18" s="73"/>
      <c r="AJ18" s="73"/>
      <c r="AK18" s="73"/>
      <c r="AL18" s="73"/>
      <c r="AM18" s="73"/>
      <c r="AN18" s="73"/>
      <c r="AO18" s="73"/>
    </row>
    <row r="19">
      <c r="A19" s="74" t="s">
        <v>31</v>
      </c>
      <c r="B19" s="75"/>
      <c r="C19" s="74"/>
      <c r="D19" s="74"/>
      <c r="E19" s="74"/>
      <c r="F19" s="74"/>
      <c r="G19" s="74"/>
      <c r="H19" s="74"/>
      <c r="I19" s="74">
        <v>34.0</v>
      </c>
      <c r="J19" s="74">
        <v>76.0</v>
      </c>
      <c r="K19" s="74">
        <v>79.0</v>
      </c>
      <c r="L19" s="74">
        <v>96.0</v>
      </c>
      <c r="M19" s="74">
        <v>34.0</v>
      </c>
      <c r="N19" s="74">
        <v>139.0</v>
      </c>
      <c r="O19" s="74">
        <v>34.0</v>
      </c>
      <c r="P19" s="69">
        <v>64.0</v>
      </c>
      <c r="Q19" s="74">
        <v>23.0</v>
      </c>
      <c r="R19" s="74">
        <v>75.0</v>
      </c>
      <c r="S19" s="74">
        <v>43.0</v>
      </c>
      <c r="T19" s="76">
        <v>57.0</v>
      </c>
      <c r="U19" s="74"/>
      <c r="V19" s="74"/>
      <c r="W19" s="74"/>
      <c r="X19" s="74"/>
      <c r="Y19" s="74"/>
      <c r="Z19" s="77"/>
      <c r="AA19" s="78"/>
      <c r="AB19" s="78"/>
      <c r="AC19" s="78"/>
      <c r="AD19" s="78"/>
      <c r="AE19" s="78"/>
      <c r="AF19" s="78"/>
      <c r="AG19" s="78"/>
      <c r="AH19" s="78"/>
      <c r="AI19" s="78"/>
      <c r="AJ19" s="78"/>
      <c r="AK19" s="78"/>
      <c r="AL19" s="78"/>
      <c r="AM19" s="78"/>
      <c r="AN19" s="78"/>
      <c r="AO19" s="78"/>
    </row>
    <row r="20">
      <c r="A20" s="69" t="s">
        <v>32</v>
      </c>
      <c r="B20" s="70"/>
      <c r="C20" s="69"/>
      <c r="D20" s="69"/>
      <c r="E20" s="69"/>
      <c r="F20" s="69"/>
      <c r="G20" s="69"/>
      <c r="H20" s="69"/>
      <c r="I20" s="69">
        <v>0.0</v>
      </c>
      <c r="J20" s="69">
        <v>18.0</v>
      </c>
      <c r="K20" s="69">
        <v>13.0</v>
      </c>
      <c r="L20" s="69">
        <v>73.0</v>
      </c>
      <c r="M20" s="69">
        <v>34.0</v>
      </c>
      <c r="N20" s="69">
        <v>139.0</v>
      </c>
      <c r="O20" s="69">
        <v>34.0</v>
      </c>
      <c r="P20" s="69">
        <v>6.0</v>
      </c>
      <c r="Q20" s="69">
        <v>23.0</v>
      </c>
      <c r="R20" s="69">
        <v>20.0</v>
      </c>
      <c r="S20" s="69">
        <v>0.0</v>
      </c>
      <c r="T20" s="71">
        <v>13.0</v>
      </c>
      <c r="U20" s="69"/>
      <c r="V20" s="69"/>
      <c r="W20" s="69"/>
      <c r="X20" s="69"/>
      <c r="Y20" s="69"/>
      <c r="Z20" s="72"/>
      <c r="AA20" s="73"/>
      <c r="AB20" s="73"/>
      <c r="AC20" s="73"/>
      <c r="AD20" s="73"/>
      <c r="AE20" s="73"/>
      <c r="AF20" s="73"/>
      <c r="AG20" s="73"/>
      <c r="AH20" s="73"/>
      <c r="AI20" s="73"/>
      <c r="AJ20" s="73"/>
      <c r="AK20" s="73"/>
      <c r="AL20" s="73"/>
      <c r="AM20" s="73"/>
      <c r="AN20" s="73"/>
      <c r="AO20" s="73"/>
    </row>
    <row r="21">
      <c r="A21" s="79" t="s">
        <v>33</v>
      </c>
      <c r="B21" s="80"/>
      <c r="C21" s="80"/>
      <c r="D21" s="80"/>
      <c r="E21" s="80"/>
      <c r="F21" s="79"/>
      <c r="G21" s="79"/>
      <c r="H21" s="79"/>
      <c r="I21" s="79">
        <v>42.0</v>
      </c>
      <c r="J21" s="79">
        <v>42.0</v>
      </c>
      <c r="K21" s="79">
        <v>47.0</v>
      </c>
      <c r="L21" s="79">
        <v>32.0</v>
      </c>
      <c r="M21" s="79">
        <v>37.0</v>
      </c>
      <c r="N21" s="79">
        <v>8.0</v>
      </c>
      <c r="O21" s="79">
        <v>76.0</v>
      </c>
      <c r="P21" s="69">
        <v>62.0</v>
      </c>
      <c r="Q21" s="79">
        <v>107.0</v>
      </c>
      <c r="R21" s="79">
        <v>47.0</v>
      </c>
      <c r="S21" s="79">
        <f>S8-S18</f>
        <v>143</v>
      </c>
      <c r="T21" s="79">
        <v>120.0</v>
      </c>
      <c r="U21" s="79"/>
      <c r="V21" s="79"/>
      <c r="W21" s="79"/>
      <c r="X21" s="79"/>
      <c r="Y21" s="79"/>
      <c r="Z21" s="79"/>
    </row>
    <row r="22">
      <c r="A22" s="82" t="s">
        <v>34</v>
      </c>
      <c r="B22" s="83"/>
      <c r="C22" s="83"/>
      <c r="D22" s="84"/>
      <c r="E22" s="84"/>
      <c r="F22" s="84"/>
      <c r="G22" s="84"/>
      <c r="H22" s="84"/>
      <c r="I22" s="85">
        <v>76.0</v>
      </c>
      <c r="J22" s="85">
        <v>118.0</v>
      </c>
      <c r="K22" s="85">
        <v>118.0</v>
      </c>
      <c r="L22" s="85">
        <v>128.0</v>
      </c>
      <c r="M22" s="85">
        <v>71.0</v>
      </c>
      <c r="N22" s="85">
        <v>147.0</v>
      </c>
      <c r="O22" s="85">
        <v>110.0</v>
      </c>
      <c r="P22" s="69">
        <v>123.0</v>
      </c>
      <c r="Q22" s="85">
        <v>135.0</v>
      </c>
      <c r="R22" s="85">
        <v>122.0</v>
      </c>
      <c r="S22" s="85">
        <v>186.0</v>
      </c>
      <c r="T22" s="86">
        <v>179.0</v>
      </c>
      <c r="U22" s="85"/>
      <c r="V22" s="85"/>
      <c r="W22" s="85"/>
      <c r="X22" s="85"/>
      <c r="Y22" s="85"/>
      <c r="Z22" s="87"/>
      <c r="AA22" s="87"/>
      <c r="AB22" s="88"/>
      <c r="AC22" s="88"/>
      <c r="AD22" s="88"/>
      <c r="AE22" s="88"/>
      <c r="AF22" s="88"/>
      <c r="AG22" s="88"/>
      <c r="AH22" s="88"/>
      <c r="AI22" s="88"/>
      <c r="AJ22" s="88"/>
      <c r="AK22" s="88"/>
      <c r="AL22" s="89"/>
      <c r="AM22" s="88"/>
      <c r="AN22" s="88"/>
      <c r="AO22" s="88"/>
    </row>
    <row r="23">
      <c r="A23" s="90" t="s">
        <v>35</v>
      </c>
      <c r="B23" s="91"/>
      <c r="C23" s="92"/>
      <c r="D23" s="91"/>
      <c r="E23" s="92"/>
      <c r="F23" s="91"/>
      <c r="G23" s="91"/>
      <c r="H23" s="91"/>
      <c r="I23" s="747" t="s">
        <v>1656</v>
      </c>
      <c r="J23" s="747" t="s">
        <v>1657</v>
      </c>
      <c r="K23" s="964" t="s">
        <v>1658</v>
      </c>
      <c r="L23" s="747" t="s">
        <v>1659</v>
      </c>
      <c r="M23" s="964" t="s">
        <v>1660</v>
      </c>
      <c r="N23" s="747" t="s">
        <v>1661</v>
      </c>
      <c r="O23" s="964" t="s">
        <v>1662</v>
      </c>
      <c r="P23" s="964" t="s">
        <v>1663</v>
      </c>
      <c r="Q23" s="964" t="s">
        <v>1664</v>
      </c>
      <c r="R23" s="964" t="s">
        <v>1665</v>
      </c>
      <c r="S23" s="964" t="s">
        <v>1666</v>
      </c>
      <c r="T23" s="747" t="s">
        <v>1667</v>
      </c>
      <c r="U23" s="91"/>
      <c r="V23" s="91"/>
      <c r="W23" s="91"/>
      <c r="X23" s="91"/>
      <c r="Y23" s="91"/>
      <c r="Z23" s="91"/>
      <c r="AA23" s="94"/>
      <c r="AB23" s="95"/>
      <c r="AC23" s="95"/>
      <c r="AD23" s="95"/>
      <c r="AE23" s="95"/>
      <c r="AF23" s="95"/>
      <c r="AG23" s="95"/>
      <c r="AH23" s="95"/>
      <c r="AI23" s="95"/>
      <c r="AJ23" s="95"/>
      <c r="AK23" s="95"/>
      <c r="AL23" s="95"/>
      <c r="AM23" s="95"/>
      <c r="AN23" s="95"/>
      <c r="AO23" s="95"/>
    </row>
    <row r="24">
      <c r="A24" s="96" t="s">
        <v>36</v>
      </c>
      <c r="B24" s="97">
        <v>0.0</v>
      </c>
      <c r="C24" s="98">
        <v>0.0</v>
      </c>
      <c r="D24" s="98">
        <v>0.0</v>
      </c>
      <c r="E24" s="98">
        <v>0.0</v>
      </c>
      <c r="F24" s="98">
        <v>0.0</v>
      </c>
      <c r="G24" s="98">
        <v>0.0</v>
      </c>
      <c r="H24" s="98">
        <v>0.0</v>
      </c>
      <c r="I24" s="97">
        <v>1.0</v>
      </c>
      <c r="J24" s="97">
        <v>1.0</v>
      </c>
      <c r="K24" s="98">
        <v>0.0</v>
      </c>
      <c r="L24" s="97">
        <v>1.0</v>
      </c>
      <c r="M24" s="97">
        <v>0.0</v>
      </c>
      <c r="N24" s="97">
        <v>1.0</v>
      </c>
      <c r="O24" s="749">
        <v>0.0</v>
      </c>
      <c r="P24" s="749">
        <v>0.0</v>
      </c>
      <c r="Q24" s="749">
        <v>0.0</v>
      </c>
      <c r="R24" s="98">
        <v>0.0</v>
      </c>
      <c r="S24" s="98">
        <v>0.0</v>
      </c>
      <c r="T24" s="97">
        <v>1.0</v>
      </c>
      <c r="U24" s="98">
        <v>0.0</v>
      </c>
      <c r="V24" s="98">
        <v>0.0</v>
      </c>
      <c r="W24" s="98">
        <v>0.0</v>
      </c>
      <c r="X24" s="98">
        <v>0.0</v>
      </c>
      <c r="Y24" s="98">
        <v>0.0</v>
      </c>
      <c r="Z24" s="98">
        <v>0.0</v>
      </c>
      <c r="AA24" s="99"/>
      <c r="AB24" s="100"/>
      <c r="AC24" s="100"/>
      <c r="AD24" s="100"/>
      <c r="AE24" s="100"/>
      <c r="AF24" s="100"/>
      <c r="AG24" s="100"/>
      <c r="AH24" s="100"/>
      <c r="AI24" s="100"/>
      <c r="AJ24" s="100"/>
      <c r="AK24" s="100"/>
      <c r="AL24" s="100"/>
      <c r="AM24" s="100"/>
      <c r="AN24" s="100"/>
      <c r="AO24" s="100"/>
    </row>
    <row r="25">
      <c r="A25" s="101" t="s">
        <v>37</v>
      </c>
      <c r="B25" s="102">
        <f t="shared" ref="B25:T25" si="2">IFERROR(B18/B7, 0)</f>
        <v>0</v>
      </c>
      <c r="C25" s="102">
        <f t="shared" si="2"/>
        <v>0</v>
      </c>
      <c r="D25" s="102">
        <f t="shared" si="2"/>
        <v>0</v>
      </c>
      <c r="E25" s="102">
        <f t="shared" si="2"/>
        <v>0</v>
      </c>
      <c r="F25" s="102">
        <f t="shared" si="2"/>
        <v>0</v>
      </c>
      <c r="G25" s="102">
        <f t="shared" si="2"/>
        <v>0</v>
      </c>
      <c r="H25" s="102">
        <f t="shared" si="2"/>
        <v>0</v>
      </c>
      <c r="I25" s="102">
        <f t="shared" si="2"/>
        <v>0.4473684211</v>
      </c>
      <c r="J25" s="102">
        <f t="shared" si="2"/>
        <v>0.5801526718</v>
      </c>
      <c r="K25" s="102">
        <f t="shared" si="2"/>
        <v>0.6030534351</v>
      </c>
      <c r="L25" s="102">
        <f t="shared" si="2"/>
        <v>0.6808510638</v>
      </c>
      <c r="M25" s="102">
        <f t="shared" si="2"/>
        <v>0.4788732394</v>
      </c>
      <c r="N25" s="102">
        <f t="shared" si="2"/>
        <v>0.9455782313</v>
      </c>
      <c r="O25" s="102">
        <f t="shared" si="2"/>
        <v>0.2764227642</v>
      </c>
      <c r="P25" s="102">
        <f t="shared" si="2"/>
        <v>0.4841269841</v>
      </c>
      <c r="Q25" s="102">
        <f t="shared" si="2"/>
        <v>0.1703703704</v>
      </c>
      <c r="R25" s="102">
        <f t="shared" si="2"/>
        <v>0.6</v>
      </c>
      <c r="S25" s="102">
        <f t="shared" si="2"/>
        <v>0.216080402</v>
      </c>
      <c r="T25" s="102">
        <f t="shared" si="2"/>
        <v>0.3031914894</v>
      </c>
      <c r="U25" s="103"/>
      <c r="V25" s="103"/>
      <c r="W25" s="103"/>
      <c r="X25" s="103"/>
      <c r="Y25" s="103"/>
      <c r="Z25" s="103"/>
    </row>
    <row r="26">
      <c r="A26" s="105" t="s">
        <v>38</v>
      </c>
      <c r="B26" s="106">
        <f t="shared" ref="B26:T26" si="3">IFERROR(B12/B18, 0)</f>
        <v>0</v>
      </c>
      <c r="C26" s="106">
        <f t="shared" si="3"/>
        <v>0</v>
      </c>
      <c r="D26" s="106">
        <f t="shared" si="3"/>
        <v>0</v>
      </c>
      <c r="E26" s="106">
        <f t="shared" si="3"/>
        <v>0</v>
      </c>
      <c r="F26" s="106">
        <f t="shared" si="3"/>
        <v>0</v>
      </c>
      <c r="G26" s="106">
        <f t="shared" si="3"/>
        <v>0</v>
      </c>
      <c r="H26" s="106">
        <f t="shared" si="3"/>
        <v>0</v>
      </c>
      <c r="I26" s="106">
        <f t="shared" si="3"/>
        <v>0</v>
      </c>
      <c r="J26" s="106">
        <f t="shared" si="3"/>
        <v>0.03947368421</v>
      </c>
      <c r="K26" s="106">
        <f t="shared" si="3"/>
        <v>0.1012658228</v>
      </c>
      <c r="L26" s="106">
        <f t="shared" si="3"/>
        <v>0</v>
      </c>
      <c r="M26" s="106">
        <f t="shared" si="3"/>
        <v>0</v>
      </c>
      <c r="N26" s="106">
        <f t="shared" si="3"/>
        <v>0.05755395683</v>
      </c>
      <c r="O26" s="106">
        <f t="shared" si="3"/>
        <v>0</v>
      </c>
      <c r="P26" s="106">
        <f t="shared" si="3"/>
        <v>0</v>
      </c>
      <c r="Q26" s="106">
        <f t="shared" si="3"/>
        <v>0.2173913043</v>
      </c>
      <c r="R26" s="106">
        <f t="shared" si="3"/>
        <v>0.04</v>
      </c>
      <c r="S26" s="106">
        <f t="shared" si="3"/>
        <v>0.7906976744</v>
      </c>
      <c r="T26" s="106">
        <f t="shared" si="3"/>
        <v>0.5087719298</v>
      </c>
      <c r="U26" s="107"/>
      <c r="V26" s="107"/>
      <c r="W26" s="107"/>
      <c r="X26" s="107"/>
      <c r="Y26" s="107"/>
      <c r="Z26" s="107"/>
    </row>
    <row r="27">
      <c r="A27" s="109" t="s">
        <v>39</v>
      </c>
      <c r="B27" s="110">
        <f t="shared" ref="B27:T27" si="4">IFERROR(B20/B18, 0)</f>
        <v>0</v>
      </c>
      <c r="C27" s="110">
        <f t="shared" si="4"/>
        <v>0</v>
      </c>
      <c r="D27" s="110">
        <f t="shared" si="4"/>
        <v>0</v>
      </c>
      <c r="E27" s="110">
        <f t="shared" si="4"/>
        <v>0</v>
      </c>
      <c r="F27" s="110">
        <f t="shared" si="4"/>
        <v>0</v>
      </c>
      <c r="G27" s="110">
        <f t="shared" si="4"/>
        <v>0</v>
      </c>
      <c r="H27" s="110">
        <f t="shared" si="4"/>
        <v>0</v>
      </c>
      <c r="I27" s="110">
        <f t="shared" si="4"/>
        <v>0</v>
      </c>
      <c r="J27" s="110">
        <f t="shared" si="4"/>
        <v>0.2368421053</v>
      </c>
      <c r="K27" s="110">
        <f t="shared" si="4"/>
        <v>0.164556962</v>
      </c>
      <c r="L27" s="110">
        <f t="shared" si="4"/>
        <v>0.7604166667</v>
      </c>
      <c r="M27" s="110">
        <f t="shared" si="4"/>
        <v>1</v>
      </c>
      <c r="N27" s="110">
        <f t="shared" si="4"/>
        <v>1</v>
      </c>
      <c r="O27" s="110">
        <f t="shared" si="4"/>
        <v>1</v>
      </c>
      <c r="P27" s="110">
        <f t="shared" si="4"/>
        <v>0.09836065574</v>
      </c>
      <c r="Q27" s="110">
        <f t="shared" si="4"/>
        <v>1</v>
      </c>
      <c r="R27" s="110">
        <f t="shared" si="4"/>
        <v>0.2666666667</v>
      </c>
      <c r="S27" s="110">
        <f t="shared" si="4"/>
        <v>0</v>
      </c>
      <c r="T27" s="110">
        <f t="shared" si="4"/>
        <v>0.2280701754</v>
      </c>
      <c r="U27" s="110"/>
      <c r="V27" s="110"/>
      <c r="W27" s="110"/>
      <c r="X27" s="110"/>
      <c r="Y27" s="110"/>
      <c r="Z27" s="110"/>
      <c r="AA27" s="112"/>
      <c r="AB27" s="113"/>
      <c r="AC27" s="113"/>
      <c r="AD27" s="113"/>
      <c r="AE27" s="113"/>
      <c r="AF27" s="113"/>
      <c r="AG27" s="113"/>
      <c r="AH27" s="113"/>
      <c r="AI27" s="113"/>
      <c r="AJ27" s="113"/>
      <c r="AK27" s="113"/>
      <c r="AL27" s="113"/>
      <c r="AM27" s="113"/>
      <c r="AN27" s="113"/>
      <c r="AO27" s="113"/>
    </row>
    <row r="28">
      <c r="A28" s="114" t="s">
        <v>40</v>
      </c>
      <c r="B28" s="115"/>
      <c r="C28" s="115"/>
      <c r="D28" s="115"/>
      <c r="E28" s="115"/>
      <c r="F28" s="115"/>
      <c r="G28" s="115"/>
      <c r="H28" s="115"/>
      <c r="I28" s="406">
        <v>1.0</v>
      </c>
      <c r="J28" s="406">
        <v>1.0</v>
      </c>
      <c r="K28" s="406">
        <v>1.0</v>
      </c>
      <c r="L28" s="406">
        <v>1.0</v>
      </c>
      <c r="M28" s="406">
        <v>1.0</v>
      </c>
      <c r="N28" s="406">
        <v>1.0</v>
      </c>
      <c r="O28" s="406">
        <v>1.0</v>
      </c>
      <c r="P28" s="406">
        <v>1.0</v>
      </c>
      <c r="Q28" s="406">
        <v>1.0</v>
      </c>
      <c r="R28" s="406">
        <v>1.0</v>
      </c>
      <c r="S28" s="406">
        <v>1.0</v>
      </c>
      <c r="T28" s="406">
        <v>0.97</v>
      </c>
      <c r="U28" s="115"/>
      <c r="V28" s="115"/>
      <c r="W28" s="115"/>
      <c r="X28" s="115"/>
      <c r="Y28" s="115"/>
      <c r="Z28" s="115"/>
      <c r="AA28" s="112"/>
      <c r="AB28" s="113"/>
      <c r="AC28" s="113"/>
      <c r="AD28" s="113"/>
      <c r="AE28" s="113"/>
      <c r="AF28" s="113"/>
      <c r="AG28" s="113"/>
      <c r="AH28" s="113"/>
      <c r="AI28" s="113"/>
      <c r="AJ28" s="113"/>
      <c r="AK28" s="113"/>
      <c r="AL28" s="113"/>
      <c r="AM28" s="113"/>
      <c r="AN28" s="113"/>
      <c r="AO28" s="113"/>
    </row>
    <row r="29">
      <c r="A29" s="117" t="s">
        <v>41</v>
      </c>
      <c r="B29" s="118"/>
      <c r="C29" s="119"/>
      <c r="D29" s="119"/>
      <c r="E29" s="119"/>
      <c r="F29" s="119"/>
      <c r="G29" s="119"/>
      <c r="H29" s="119"/>
      <c r="I29" s="119"/>
      <c r="J29" s="119"/>
      <c r="K29" s="119"/>
      <c r="L29" s="119"/>
      <c r="M29" s="119"/>
      <c r="N29" s="119"/>
      <c r="O29" s="119"/>
      <c r="P29" s="119"/>
      <c r="Q29" s="119"/>
      <c r="R29" s="119"/>
      <c r="S29" s="119"/>
      <c r="T29" s="120"/>
      <c r="U29" s="119"/>
      <c r="V29" s="119"/>
      <c r="W29" s="119"/>
      <c r="X29" s="119"/>
      <c r="Y29" s="119"/>
      <c r="Z29" s="119"/>
      <c r="AA29" s="121"/>
      <c r="AB29" s="121"/>
      <c r="AC29" s="121"/>
      <c r="AD29" s="121"/>
      <c r="AE29" s="121"/>
      <c r="AF29" s="99"/>
      <c r="AG29" s="99"/>
      <c r="AH29" s="99"/>
      <c r="AI29" s="99"/>
      <c r="AJ29" s="99"/>
      <c r="AK29" s="99"/>
      <c r="AL29" s="99"/>
      <c r="AM29" s="99"/>
      <c r="AN29" s="99"/>
      <c r="AO29" s="99"/>
    </row>
    <row r="30">
      <c r="A30" s="184" t="s">
        <v>141</v>
      </c>
      <c r="B30" s="240"/>
      <c r="C30" s="240"/>
      <c r="D30" s="240"/>
      <c r="E30" s="240"/>
      <c r="F30" s="240"/>
      <c r="G30" s="240"/>
      <c r="H30" s="240"/>
      <c r="I30" s="185">
        <f t="shared" ref="I30:Z30" si="5">I56/I8</f>
        <v>0</v>
      </c>
      <c r="J30" s="185">
        <f t="shared" si="5"/>
        <v>0</v>
      </c>
      <c r="K30" s="185">
        <f t="shared" si="5"/>
        <v>0</v>
      </c>
      <c r="L30" s="185">
        <f t="shared" si="5"/>
        <v>0</v>
      </c>
      <c r="M30" s="185">
        <f t="shared" si="5"/>
        <v>0</v>
      </c>
      <c r="N30" s="185">
        <f t="shared" si="5"/>
        <v>0</v>
      </c>
      <c r="O30" s="185">
        <f t="shared" si="5"/>
        <v>0</v>
      </c>
      <c r="P30" s="185">
        <f t="shared" si="5"/>
        <v>0</v>
      </c>
      <c r="Q30" s="185">
        <f t="shared" si="5"/>
        <v>0</v>
      </c>
      <c r="R30" s="185">
        <f t="shared" si="5"/>
        <v>0</v>
      </c>
      <c r="S30" s="185">
        <f t="shared" si="5"/>
        <v>0</v>
      </c>
      <c r="T30" s="185">
        <f t="shared" si="5"/>
        <v>0</v>
      </c>
      <c r="U30" s="185" t="str">
        <f t="shared" si="5"/>
        <v>#DIV/0!</v>
      </c>
      <c r="V30" s="185" t="str">
        <f t="shared" si="5"/>
        <v>#DIV/0!</v>
      </c>
      <c r="W30" s="185" t="str">
        <f t="shared" si="5"/>
        <v>#DIV/0!</v>
      </c>
      <c r="X30" s="185" t="str">
        <f t="shared" si="5"/>
        <v>#DIV/0!</v>
      </c>
      <c r="Y30" s="185" t="str">
        <f t="shared" si="5"/>
        <v>#DIV/0!</v>
      </c>
      <c r="Z30" s="185" t="str">
        <f t="shared" si="5"/>
        <v>#DIV/0!</v>
      </c>
      <c r="AA30" s="240"/>
      <c r="AB30" s="240"/>
      <c r="AC30" s="186"/>
      <c r="AD30" s="186"/>
      <c r="AE30" s="186"/>
      <c r="AF30" s="186"/>
      <c r="AG30" s="186"/>
      <c r="AH30" s="186"/>
      <c r="AI30" s="186"/>
      <c r="AJ30" s="186"/>
      <c r="AK30" s="186"/>
      <c r="AL30" s="186"/>
      <c r="AM30" s="186"/>
      <c r="AN30" s="186"/>
      <c r="AO30" s="186"/>
    </row>
    <row r="31">
      <c r="A31" s="96" t="s">
        <v>42</v>
      </c>
      <c r="B31" s="97">
        <v>0.0</v>
      </c>
      <c r="C31" s="98">
        <v>0.0</v>
      </c>
      <c r="D31" s="98">
        <v>0.0</v>
      </c>
      <c r="E31" s="98">
        <v>0.0</v>
      </c>
      <c r="F31" s="98">
        <v>0.0</v>
      </c>
      <c r="G31" s="98">
        <v>0.0</v>
      </c>
      <c r="H31" s="98">
        <v>0.0</v>
      </c>
      <c r="I31" s="97">
        <v>0.45</v>
      </c>
      <c r="J31" s="97">
        <v>0.35</v>
      </c>
      <c r="K31" s="97">
        <v>0.35</v>
      </c>
      <c r="L31" s="97">
        <v>0.7</v>
      </c>
      <c r="M31" s="97">
        <v>0.47</v>
      </c>
      <c r="N31" s="97">
        <v>0.37</v>
      </c>
      <c r="O31" s="97">
        <v>0.58</v>
      </c>
      <c r="P31" s="97">
        <v>0.53</v>
      </c>
      <c r="Q31" s="97">
        <v>0.56</v>
      </c>
      <c r="R31" s="97">
        <v>0.33</v>
      </c>
      <c r="S31" s="97">
        <v>0.72</v>
      </c>
      <c r="T31" s="97">
        <v>0.23</v>
      </c>
      <c r="U31" s="98">
        <v>0.0</v>
      </c>
      <c r="V31" s="98">
        <v>0.0</v>
      </c>
      <c r="W31" s="98">
        <v>0.0</v>
      </c>
      <c r="X31" s="98">
        <v>0.0</v>
      </c>
      <c r="Y31" s="98">
        <v>0.0</v>
      </c>
      <c r="Z31" s="98">
        <v>0.0</v>
      </c>
      <c r="AA31" s="122"/>
      <c r="AB31" s="121"/>
      <c r="AC31" s="121"/>
      <c r="AD31" s="121"/>
      <c r="AE31" s="121"/>
      <c r="AF31" s="99"/>
      <c r="AG31" s="99"/>
      <c r="AH31" s="99"/>
      <c r="AI31" s="99"/>
      <c r="AJ31" s="99"/>
      <c r="AK31" s="99"/>
      <c r="AL31" s="99"/>
      <c r="AM31" s="99"/>
      <c r="AN31" s="99"/>
      <c r="AO31" s="99"/>
    </row>
    <row r="32">
      <c r="A32" s="123" t="s">
        <v>43</v>
      </c>
      <c r="B32" s="97">
        <v>0.0</v>
      </c>
      <c r="C32" s="97">
        <v>0.0</v>
      </c>
      <c r="D32" s="97">
        <v>0.0</v>
      </c>
      <c r="E32" s="97">
        <v>0.0</v>
      </c>
      <c r="F32" s="97">
        <v>0.0</v>
      </c>
      <c r="G32" s="97">
        <v>0.0</v>
      </c>
      <c r="H32" s="97">
        <v>0.0</v>
      </c>
      <c r="I32" s="97">
        <v>1.0</v>
      </c>
      <c r="J32" s="97">
        <v>1.0</v>
      </c>
      <c r="K32" s="97">
        <v>1.0</v>
      </c>
      <c r="L32" s="97">
        <v>1.0</v>
      </c>
      <c r="M32" s="97">
        <v>1.0</v>
      </c>
      <c r="N32" s="97">
        <v>1.0</v>
      </c>
      <c r="O32" s="97">
        <v>1.0</v>
      </c>
      <c r="P32" s="97">
        <v>1.0</v>
      </c>
      <c r="Q32" s="97">
        <v>1.0</v>
      </c>
      <c r="R32" s="97">
        <v>1.0</v>
      </c>
      <c r="S32" s="97">
        <v>1.0</v>
      </c>
      <c r="T32" s="97">
        <v>1.0</v>
      </c>
      <c r="U32" s="97">
        <v>0.0</v>
      </c>
      <c r="V32" s="97">
        <v>0.0</v>
      </c>
      <c r="W32" s="97">
        <v>0.0</v>
      </c>
      <c r="X32" s="97">
        <v>0.0</v>
      </c>
      <c r="Y32" s="97">
        <v>0.0</v>
      </c>
      <c r="Z32" s="97">
        <v>0.0</v>
      </c>
      <c r="AA32" s="124"/>
      <c r="AB32" s="121"/>
      <c r="AC32" s="121"/>
      <c r="AD32" s="121"/>
      <c r="AE32" s="121"/>
      <c r="AF32" s="99"/>
      <c r="AG32" s="99"/>
      <c r="AH32" s="99"/>
      <c r="AI32" s="99"/>
      <c r="AJ32" s="99"/>
      <c r="AK32" s="99"/>
      <c r="AL32" s="99"/>
      <c r="AM32" s="99"/>
      <c r="AN32" s="99"/>
      <c r="AO32" s="99"/>
    </row>
    <row r="33">
      <c r="A33" s="96" t="s">
        <v>44</v>
      </c>
      <c r="B33" s="125">
        <f t="shared" ref="B33:Z33" si="6">(B24*0.7) + (IF(B31 &gt;= 30%, 1, 0)*0.15) + (B32*0.15)</f>
        <v>0</v>
      </c>
      <c r="C33" s="125">
        <f t="shared" si="6"/>
        <v>0</v>
      </c>
      <c r="D33" s="125">
        <f t="shared" si="6"/>
        <v>0</v>
      </c>
      <c r="E33" s="125">
        <f t="shared" si="6"/>
        <v>0</v>
      </c>
      <c r="F33" s="125">
        <f t="shared" si="6"/>
        <v>0</v>
      </c>
      <c r="G33" s="125">
        <f t="shared" si="6"/>
        <v>0</v>
      </c>
      <c r="H33" s="125">
        <f t="shared" si="6"/>
        <v>0</v>
      </c>
      <c r="I33" s="125">
        <f t="shared" si="6"/>
        <v>1</v>
      </c>
      <c r="J33" s="125">
        <f t="shared" si="6"/>
        <v>1</v>
      </c>
      <c r="K33" s="125">
        <f t="shared" si="6"/>
        <v>0.3</v>
      </c>
      <c r="L33" s="125">
        <f t="shared" si="6"/>
        <v>1</v>
      </c>
      <c r="M33" s="125">
        <f t="shared" si="6"/>
        <v>0.3</v>
      </c>
      <c r="N33" s="125">
        <f t="shared" si="6"/>
        <v>1</v>
      </c>
      <c r="O33" s="125">
        <f t="shared" si="6"/>
        <v>0.3</v>
      </c>
      <c r="P33" s="125">
        <f t="shared" si="6"/>
        <v>0.3</v>
      </c>
      <c r="Q33" s="125">
        <f t="shared" si="6"/>
        <v>0.3</v>
      </c>
      <c r="R33" s="125">
        <f t="shared" si="6"/>
        <v>0.3</v>
      </c>
      <c r="S33" s="125">
        <f t="shared" si="6"/>
        <v>0.3</v>
      </c>
      <c r="T33" s="125">
        <f t="shared" si="6"/>
        <v>0.85</v>
      </c>
      <c r="U33" s="125">
        <f t="shared" si="6"/>
        <v>0</v>
      </c>
      <c r="V33" s="125">
        <f t="shared" si="6"/>
        <v>0</v>
      </c>
      <c r="W33" s="125">
        <f t="shared" si="6"/>
        <v>0</v>
      </c>
      <c r="X33" s="125">
        <f t="shared" si="6"/>
        <v>0</v>
      </c>
      <c r="Y33" s="125">
        <f t="shared" si="6"/>
        <v>0</v>
      </c>
      <c r="Z33" s="125">
        <f t="shared" si="6"/>
        <v>0</v>
      </c>
    </row>
    <row r="34">
      <c r="A34" s="193" t="s">
        <v>142</v>
      </c>
      <c r="B34" s="125"/>
      <c r="C34" s="125"/>
      <c r="D34" s="125"/>
      <c r="E34" s="125"/>
      <c r="F34" s="125"/>
      <c r="G34" s="125"/>
      <c r="H34" s="125"/>
      <c r="I34" s="125"/>
      <c r="J34" s="125"/>
      <c r="K34" s="125"/>
      <c r="L34" s="125"/>
      <c r="M34" s="125"/>
      <c r="N34" s="125">
        <v>1.0</v>
      </c>
      <c r="O34" s="125">
        <v>0.3</v>
      </c>
      <c r="P34" s="125">
        <v>0.3</v>
      </c>
      <c r="Q34" s="125">
        <v>0.3</v>
      </c>
      <c r="R34" s="125">
        <v>0.3</v>
      </c>
      <c r="S34" s="125">
        <v>0.3</v>
      </c>
      <c r="T34" s="965">
        <v>0.15</v>
      </c>
      <c r="U34" s="125"/>
      <c r="V34" s="125"/>
      <c r="W34" s="125"/>
      <c r="X34" s="125"/>
      <c r="Y34" s="125"/>
      <c r="Z34" s="125"/>
    </row>
    <row r="35">
      <c r="A35" s="126" t="s">
        <v>45</v>
      </c>
      <c r="B35" s="127"/>
      <c r="C35" s="128"/>
      <c r="D35" s="128"/>
      <c r="E35" s="128"/>
      <c r="F35" s="128"/>
      <c r="G35" s="128"/>
      <c r="H35" s="128"/>
      <c r="I35" s="128"/>
      <c r="J35" s="128"/>
      <c r="K35" s="128"/>
      <c r="L35" s="128"/>
      <c r="M35" s="128"/>
      <c r="N35" s="128"/>
      <c r="O35" s="128"/>
      <c r="P35" s="128"/>
      <c r="Q35" s="128"/>
      <c r="R35" s="128"/>
      <c r="S35" s="128"/>
      <c r="T35" s="129"/>
      <c r="U35" s="128"/>
      <c r="V35" s="128"/>
      <c r="W35" s="128"/>
      <c r="X35" s="128"/>
      <c r="Y35" s="128"/>
      <c r="Z35" s="128"/>
      <c r="AA35" s="128"/>
      <c r="AB35" s="128"/>
      <c r="AC35" s="130"/>
      <c r="AD35" s="130"/>
      <c r="AE35" s="130"/>
      <c r="AF35" s="130"/>
      <c r="AG35" s="130"/>
      <c r="AH35" s="130"/>
      <c r="AI35" s="130"/>
      <c r="AJ35" s="130"/>
      <c r="AK35" s="130"/>
      <c r="AL35" s="130"/>
      <c r="AM35" s="130"/>
      <c r="AN35" s="130"/>
      <c r="AO35" s="130"/>
    </row>
    <row r="36">
      <c r="A36" s="131" t="s">
        <v>1668</v>
      </c>
      <c r="B36" s="132"/>
      <c r="C36" s="130"/>
      <c r="D36" s="130"/>
      <c r="E36" s="130"/>
      <c r="F36" s="130"/>
      <c r="G36" s="130"/>
      <c r="H36" s="130"/>
      <c r="I36" s="133">
        <v>34.0</v>
      </c>
      <c r="J36" s="133">
        <v>55.0</v>
      </c>
      <c r="K36" s="133">
        <v>66.0</v>
      </c>
      <c r="L36" s="133">
        <v>65.0</v>
      </c>
      <c r="M36" s="133">
        <v>34.0</v>
      </c>
      <c r="N36" s="133">
        <v>84.0</v>
      </c>
      <c r="O36" s="133">
        <v>47.0</v>
      </c>
      <c r="P36" s="133">
        <v>64.0</v>
      </c>
      <c r="Q36" s="133">
        <v>57.0</v>
      </c>
      <c r="R36" s="133">
        <v>0.0</v>
      </c>
      <c r="S36" s="133">
        <v>64.0</v>
      </c>
      <c r="T36" s="134">
        <v>44.0</v>
      </c>
      <c r="U36" s="133"/>
      <c r="V36" s="133"/>
      <c r="W36" s="133"/>
      <c r="X36" s="133"/>
      <c r="Y36" s="133"/>
      <c r="Z36" s="133"/>
      <c r="AA36" s="133"/>
      <c r="AB36" s="130"/>
      <c r="AC36" s="130"/>
      <c r="AD36" s="130"/>
      <c r="AE36" s="130"/>
      <c r="AF36" s="130"/>
      <c r="AG36" s="130"/>
      <c r="AH36" s="130"/>
      <c r="AI36" s="130"/>
      <c r="AJ36" s="130"/>
      <c r="AK36" s="130"/>
      <c r="AL36" s="130"/>
      <c r="AM36" s="130"/>
      <c r="AN36" s="130"/>
      <c r="AO36" s="130"/>
    </row>
    <row r="37">
      <c r="A37" s="131" t="s">
        <v>1669</v>
      </c>
      <c r="B37" s="132"/>
      <c r="C37" s="133"/>
      <c r="D37" s="130"/>
      <c r="E37" s="130"/>
      <c r="F37" s="130"/>
      <c r="G37" s="130"/>
      <c r="H37" s="130"/>
      <c r="I37" s="133">
        <v>42.0</v>
      </c>
      <c r="J37" s="133">
        <v>60.0</v>
      </c>
      <c r="K37" s="133">
        <v>52.0</v>
      </c>
      <c r="L37" s="133">
        <v>63.0</v>
      </c>
      <c r="M37" s="133">
        <v>37.0</v>
      </c>
      <c r="N37" s="133">
        <v>63.0</v>
      </c>
      <c r="O37" s="133">
        <v>63.0</v>
      </c>
      <c r="P37" s="133">
        <v>36.0</v>
      </c>
      <c r="Q37" s="133">
        <v>42.0</v>
      </c>
      <c r="R37" s="133">
        <v>41.0</v>
      </c>
      <c r="S37" s="133">
        <v>53.0</v>
      </c>
      <c r="T37" s="134">
        <v>54.0</v>
      </c>
      <c r="U37" s="130"/>
      <c r="V37" s="130"/>
      <c r="W37" s="130"/>
      <c r="X37" s="130"/>
      <c r="Y37" s="130"/>
      <c r="Z37" s="130"/>
      <c r="AA37" s="130"/>
      <c r="AB37" s="130"/>
      <c r="AC37" s="130"/>
      <c r="AD37" s="130"/>
      <c r="AE37" s="130"/>
      <c r="AF37" s="130"/>
      <c r="AG37" s="130"/>
      <c r="AH37" s="130"/>
      <c r="AI37" s="130"/>
      <c r="AJ37" s="130"/>
      <c r="AK37" s="130"/>
      <c r="AL37" s="130"/>
      <c r="AM37" s="130"/>
      <c r="AN37" s="130"/>
      <c r="AO37" s="130"/>
    </row>
    <row r="38">
      <c r="A38" s="131" t="s">
        <v>1670</v>
      </c>
      <c r="B38" s="132"/>
      <c r="C38" s="133"/>
      <c r="D38" s="130"/>
      <c r="E38" s="130"/>
      <c r="F38" s="130"/>
      <c r="G38" s="130"/>
      <c r="H38" s="130"/>
      <c r="I38" s="130"/>
      <c r="J38" s="130"/>
      <c r="K38" s="130"/>
      <c r="L38" s="130"/>
      <c r="M38" s="130"/>
      <c r="N38" s="130"/>
      <c r="O38" s="133">
        <v>0.0</v>
      </c>
      <c r="P38" s="133">
        <v>31.0</v>
      </c>
      <c r="Q38" s="133">
        <v>36.0</v>
      </c>
      <c r="R38" s="133">
        <v>26.0</v>
      </c>
      <c r="S38" s="133">
        <v>38.0</v>
      </c>
      <c r="T38" s="134">
        <v>37.0</v>
      </c>
      <c r="U38" s="133"/>
      <c r="V38" s="133"/>
      <c r="W38" s="133"/>
      <c r="X38" s="133"/>
      <c r="Y38" s="133"/>
      <c r="Z38" s="133"/>
      <c r="AA38" s="133"/>
      <c r="AB38" s="130"/>
      <c r="AC38" s="130"/>
      <c r="AD38" s="130"/>
      <c r="AE38" s="130"/>
      <c r="AF38" s="130"/>
      <c r="AG38" s="130"/>
      <c r="AH38" s="130"/>
      <c r="AI38" s="130"/>
      <c r="AJ38" s="130"/>
      <c r="AK38" s="130"/>
      <c r="AL38" s="130"/>
      <c r="AM38" s="130"/>
      <c r="AN38" s="130"/>
      <c r="AO38" s="130"/>
    </row>
    <row r="39">
      <c r="A39" s="131" t="s">
        <v>1671</v>
      </c>
      <c r="B39" s="132"/>
      <c r="C39" s="133"/>
      <c r="D39" s="130"/>
      <c r="E39" s="130"/>
      <c r="F39" s="130"/>
      <c r="G39" s="130"/>
      <c r="H39" s="130"/>
      <c r="I39" s="130"/>
      <c r="J39" s="130"/>
      <c r="K39" s="130"/>
      <c r="L39" s="130"/>
      <c r="M39" s="130"/>
      <c r="N39" s="130"/>
      <c r="O39" s="130"/>
      <c r="P39" s="133"/>
      <c r="Q39" s="133"/>
      <c r="R39" s="133">
        <v>55.0</v>
      </c>
      <c r="S39" s="133">
        <v>31.0</v>
      </c>
      <c r="T39" s="134">
        <v>50.0</v>
      </c>
      <c r="U39" s="133"/>
      <c r="V39" s="133"/>
      <c r="W39" s="133"/>
      <c r="X39" s="133"/>
      <c r="Y39" s="133"/>
      <c r="Z39" s="133"/>
      <c r="AA39" s="133"/>
      <c r="AB39" s="130"/>
      <c r="AC39" s="130"/>
      <c r="AD39" s="130"/>
      <c r="AE39" s="130"/>
      <c r="AF39" s="130"/>
      <c r="AG39" s="130"/>
      <c r="AH39" s="130"/>
      <c r="AI39" s="130"/>
      <c r="AJ39" s="130"/>
      <c r="AK39" s="130"/>
      <c r="AL39" s="130"/>
      <c r="AM39" s="130"/>
      <c r="AN39" s="130"/>
      <c r="AO39" s="130"/>
    </row>
    <row r="40">
      <c r="A40" s="131"/>
      <c r="B40" s="132"/>
      <c r="C40" s="133"/>
      <c r="D40" s="130"/>
      <c r="E40" s="130"/>
      <c r="F40" s="130"/>
      <c r="G40" s="130"/>
      <c r="H40" s="130"/>
      <c r="I40" s="130"/>
      <c r="J40" s="130"/>
      <c r="K40" s="130"/>
      <c r="L40" s="130"/>
      <c r="M40" s="130"/>
      <c r="N40" s="130"/>
      <c r="O40" s="130"/>
      <c r="P40" s="133"/>
      <c r="Q40" s="133"/>
      <c r="R40" s="133"/>
      <c r="S40" s="133"/>
      <c r="T40" s="134"/>
      <c r="U40" s="133"/>
      <c r="V40" s="133"/>
      <c r="W40" s="133"/>
      <c r="X40" s="133"/>
      <c r="Y40" s="133"/>
      <c r="Z40" s="133"/>
      <c r="AA40" s="133"/>
      <c r="AB40" s="130"/>
      <c r="AC40" s="130"/>
      <c r="AD40" s="130"/>
      <c r="AE40" s="130"/>
      <c r="AF40" s="130"/>
      <c r="AG40" s="130"/>
      <c r="AH40" s="130"/>
      <c r="AI40" s="130"/>
      <c r="AJ40" s="130"/>
      <c r="AK40" s="130"/>
      <c r="AL40" s="130"/>
      <c r="AM40" s="130"/>
      <c r="AN40" s="130"/>
      <c r="AO40" s="130"/>
    </row>
    <row r="41">
      <c r="A41" s="126" t="s">
        <v>46</v>
      </c>
      <c r="B41" s="127"/>
      <c r="C41" s="128"/>
      <c r="D41" s="128"/>
      <c r="E41" s="128"/>
      <c r="F41" s="128"/>
      <c r="G41" s="128"/>
      <c r="H41" s="128"/>
      <c r="I41" s="128"/>
      <c r="J41" s="128"/>
      <c r="K41" s="128"/>
      <c r="L41" s="128"/>
      <c r="M41" s="128"/>
      <c r="N41" s="128"/>
      <c r="O41" s="128"/>
      <c r="P41" s="128"/>
      <c r="Q41" s="128"/>
      <c r="R41" s="128"/>
      <c r="S41" s="128"/>
      <c r="T41" s="129"/>
      <c r="U41" s="128"/>
      <c r="V41" s="128"/>
      <c r="W41" s="128"/>
      <c r="X41" s="128"/>
      <c r="Y41" s="128"/>
      <c r="Z41" s="128"/>
      <c r="AA41" s="128"/>
      <c r="AB41" s="128"/>
      <c r="AC41" s="130"/>
      <c r="AD41" s="130"/>
      <c r="AE41" s="130"/>
      <c r="AF41" s="130"/>
      <c r="AG41" s="130"/>
      <c r="AH41" s="130"/>
      <c r="AI41" s="130"/>
      <c r="AJ41" s="130"/>
      <c r="AK41" s="130"/>
      <c r="AL41" s="130"/>
      <c r="AM41" s="130"/>
      <c r="AN41" s="130"/>
      <c r="AO41" s="130"/>
    </row>
    <row r="42">
      <c r="A42" s="131" t="s">
        <v>1668</v>
      </c>
      <c r="B42" s="132"/>
      <c r="C42" s="133"/>
      <c r="D42" s="133"/>
      <c r="E42" s="133"/>
      <c r="F42" s="133"/>
      <c r="G42" s="133"/>
      <c r="H42" s="133"/>
      <c r="I42" s="133">
        <v>34.0</v>
      </c>
      <c r="J42" s="133">
        <v>68.0</v>
      </c>
      <c r="K42" s="133">
        <v>79.0</v>
      </c>
      <c r="L42" s="133">
        <v>65.0</v>
      </c>
      <c r="M42" s="133">
        <v>34.0</v>
      </c>
      <c r="N42" s="133">
        <v>84.0</v>
      </c>
      <c r="O42" s="133">
        <v>34.0</v>
      </c>
      <c r="P42" s="133">
        <v>64.0</v>
      </c>
      <c r="Q42" s="133">
        <v>23.0</v>
      </c>
      <c r="R42" s="133">
        <v>4.0</v>
      </c>
      <c r="S42" s="133">
        <v>77.0</v>
      </c>
      <c r="T42" s="134">
        <v>13.0</v>
      </c>
      <c r="U42" s="133"/>
      <c r="V42" s="133"/>
      <c r="W42" s="133"/>
      <c r="X42" s="133"/>
      <c r="Y42" s="133"/>
      <c r="Z42" s="133"/>
      <c r="AA42" s="130"/>
      <c r="AB42" s="130"/>
      <c r="AC42" s="130"/>
      <c r="AD42" s="130"/>
      <c r="AE42" s="130"/>
      <c r="AF42" s="130"/>
      <c r="AG42" s="130"/>
      <c r="AH42" s="130"/>
      <c r="AI42" s="130"/>
      <c r="AJ42" s="130"/>
      <c r="AK42" s="130"/>
      <c r="AL42" s="130"/>
      <c r="AM42" s="130"/>
      <c r="AN42" s="130"/>
      <c r="AO42" s="130"/>
    </row>
    <row r="43">
      <c r="A43" s="131" t="s">
        <v>1669</v>
      </c>
      <c r="B43" s="132"/>
      <c r="C43" s="133"/>
      <c r="D43" s="133"/>
      <c r="E43" s="130"/>
      <c r="F43" s="133"/>
      <c r="G43" s="133"/>
      <c r="H43" s="133"/>
      <c r="I43" s="133">
        <v>0.0</v>
      </c>
      <c r="J43" s="133">
        <v>5.0</v>
      </c>
      <c r="K43" s="133">
        <v>0.0</v>
      </c>
      <c r="L43" s="133">
        <v>52.0</v>
      </c>
      <c r="M43" s="133">
        <v>21.0</v>
      </c>
      <c r="N43" s="133">
        <v>55.0</v>
      </c>
      <c r="O43" s="133">
        <v>0.0</v>
      </c>
      <c r="P43" s="133">
        <v>0.0</v>
      </c>
      <c r="Q43" s="133">
        <v>0.0</v>
      </c>
      <c r="R43" s="133">
        <v>8.0</v>
      </c>
      <c r="S43" s="133">
        <v>14.0</v>
      </c>
      <c r="T43" s="134">
        <v>12.0</v>
      </c>
      <c r="U43" s="130"/>
      <c r="V43" s="130"/>
      <c r="W43" s="130"/>
      <c r="X43" s="130"/>
      <c r="Y43" s="130"/>
      <c r="Z43" s="130"/>
      <c r="AA43" s="130"/>
      <c r="AB43" s="130"/>
      <c r="AC43" s="130"/>
      <c r="AD43" s="130"/>
      <c r="AE43" s="130"/>
      <c r="AF43" s="130"/>
      <c r="AG43" s="130"/>
      <c r="AH43" s="130"/>
      <c r="AI43" s="130"/>
      <c r="AJ43" s="130"/>
      <c r="AK43" s="130"/>
      <c r="AL43" s="130"/>
      <c r="AM43" s="130"/>
      <c r="AN43" s="130"/>
      <c r="AO43" s="130"/>
    </row>
    <row r="44">
      <c r="A44" s="131" t="s">
        <v>1670</v>
      </c>
      <c r="B44" s="137"/>
      <c r="C44" s="133"/>
      <c r="D44" s="133"/>
      <c r="E44" s="130"/>
      <c r="F44" s="133"/>
      <c r="G44" s="133"/>
      <c r="H44" s="133"/>
      <c r="I44" s="133"/>
      <c r="J44" s="133"/>
      <c r="K44" s="133"/>
      <c r="L44" s="133"/>
      <c r="M44" s="133"/>
      <c r="N44" s="133"/>
      <c r="O44" s="133">
        <v>0.0</v>
      </c>
      <c r="P44" s="133">
        <v>0.0</v>
      </c>
      <c r="Q44" s="133">
        <v>0.0</v>
      </c>
      <c r="R44" s="133">
        <v>8.0</v>
      </c>
      <c r="S44" s="133">
        <v>7.0</v>
      </c>
      <c r="T44" s="134">
        <v>19.0</v>
      </c>
      <c r="U44" s="130"/>
      <c r="V44" s="130"/>
      <c r="W44" s="130"/>
      <c r="X44" s="130"/>
      <c r="Y44" s="130"/>
      <c r="Z44" s="130"/>
      <c r="AA44" s="130"/>
      <c r="AB44" s="130"/>
      <c r="AC44" s="130"/>
      <c r="AD44" s="130"/>
      <c r="AE44" s="130"/>
      <c r="AF44" s="130"/>
      <c r="AG44" s="130"/>
      <c r="AH44" s="130"/>
      <c r="AI44" s="130"/>
      <c r="AJ44" s="130"/>
      <c r="AK44" s="130"/>
      <c r="AL44" s="130"/>
      <c r="AM44" s="130"/>
      <c r="AN44" s="130"/>
      <c r="AO44" s="130"/>
    </row>
    <row r="45">
      <c r="A45" s="131" t="s">
        <v>1671</v>
      </c>
      <c r="B45" s="137"/>
      <c r="C45" s="133"/>
      <c r="D45" s="133"/>
      <c r="E45" s="133"/>
      <c r="F45" s="133"/>
      <c r="G45" s="133"/>
      <c r="H45" s="133"/>
      <c r="I45" s="133"/>
      <c r="J45" s="133"/>
      <c r="K45" s="133"/>
      <c r="L45" s="133"/>
      <c r="M45" s="133"/>
      <c r="N45" s="133"/>
      <c r="O45" s="133"/>
      <c r="P45" s="133"/>
      <c r="Q45" s="133">
        <v>0.0</v>
      </c>
      <c r="R45" s="133">
        <v>55.0</v>
      </c>
      <c r="S45" s="133">
        <v>10.0</v>
      </c>
      <c r="T45" s="134">
        <v>45.0</v>
      </c>
      <c r="U45" s="133"/>
      <c r="V45" s="133"/>
      <c r="W45" s="133"/>
      <c r="X45" s="133"/>
      <c r="Y45" s="133"/>
      <c r="Z45" s="133"/>
      <c r="AA45" s="130"/>
      <c r="AB45" s="130"/>
      <c r="AC45" s="130"/>
      <c r="AD45" s="130"/>
      <c r="AE45" s="130"/>
      <c r="AF45" s="130"/>
      <c r="AG45" s="130"/>
      <c r="AH45" s="130"/>
      <c r="AI45" s="130"/>
      <c r="AJ45" s="130"/>
      <c r="AK45" s="130"/>
      <c r="AL45" s="130"/>
      <c r="AM45" s="130"/>
      <c r="AN45" s="130"/>
      <c r="AO45" s="130"/>
    </row>
    <row r="46">
      <c r="A46" s="131"/>
      <c r="B46" s="137"/>
      <c r="C46" s="133"/>
      <c r="D46" s="133"/>
      <c r="E46" s="130"/>
      <c r="F46" s="133"/>
      <c r="G46" s="133"/>
      <c r="H46" s="133"/>
      <c r="I46" s="133"/>
      <c r="J46" s="133"/>
      <c r="K46" s="133"/>
      <c r="L46" s="133"/>
      <c r="M46" s="133"/>
      <c r="N46" s="133"/>
      <c r="O46" s="133"/>
      <c r="P46" s="133"/>
      <c r="Q46" s="133"/>
      <c r="R46" s="133"/>
      <c r="S46" s="133"/>
      <c r="T46" s="134"/>
      <c r="U46" s="133"/>
      <c r="V46" s="133"/>
      <c r="W46" s="133"/>
      <c r="X46" s="133"/>
      <c r="Y46" s="133"/>
      <c r="Z46" s="133"/>
      <c r="AA46" s="130"/>
      <c r="AB46" s="130"/>
      <c r="AC46" s="130"/>
      <c r="AD46" s="130"/>
      <c r="AE46" s="130"/>
      <c r="AF46" s="130"/>
      <c r="AG46" s="130"/>
      <c r="AH46" s="130"/>
      <c r="AI46" s="130"/>
      <c r="AJ46" s="130"/>
      <c r="AK46" s="130"/>
      <c r="AL46" s="130"/>
      <c r="AM46" s="130"/>
      <c r="AN46" s="130"/>
      <c r="AO46" s="130"/>
    </row>
    <row r="47">
      <c r="A47" s="966" t="s">
        <v>1672</v>
      </c>
      <c r="B47" s="967"/>
      <c r="C47" s="967"/>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8"/>
      <c r="AG47" s="968"/>
      <c r="AH47" s="968"/>
      <c r="AI47" s="968"/>
      <c r="AJ47" s="968"/>
      <c r="AK47" s="968"/>
      <c r="AL47" s="968"/>
      <c r="AM47" s="130"/>
      <c r="AN47" s="130"/>
      <c r="AO47" s="130"/>
    </row>
    <row r="48">
      <c r="A48" s="131" t="s">
        <v>1673</v>
      </c>
      <c r="B48" s="132"/>
      <c r="C48" s="133"/>
      <c r="D48" s="130"/>
      <c r="E48" s="130"/>
      <c r="F48" s="130"/>
      <c r="G48" s="130"/>
      <c r="H48" s="130"/>
      <c r="I48" s="130"/>
      <c r="J48" s="130"/>
      <c r="K48" s="130"/>
      <c r="L48" s="130"/>
      <c r="M48" s="130"/>
      <c r="N48" s="130"/>
      <c r="O48" s="130"/>
      <c r="P48" s="133"/>
      <c r="Q48" s="133">
        <v>55.0</v>
      </c>
      <c r="R48" s="133">
        <v>55.0</v>
      </c>
      <c r="S48" s="288">
        <v>50.0</v>
      </c>
      <c r="T48" s="133">
        <v>50.0</v>
      </c>
      <c r="U48" s="133"/>
      <c r="V48" s="133"/>
      <c r="W48" s="133"/>
      <c r="X48" s="133"/>
      <c r="Y48" s="133"/>
      <c r="Z48" s="133"/>
      <c r="AA48" s="133"/>
      <c r="AB48" s="130"/>
      <c r="AC48" s="130"/>
      <c r="AD48" s="130"/>
      <c r="AE48" s="130"/>
      <c r="AF48" s="130"/>
      <c r="AG48" s="130"/>
      <c r="AH48" s="130"/>
      <c r="AI48" s="130"/>
      <c r="AJ48" s="130"/>
      <c r="AK48" s="130"/>
      <c r="AL48" s="130"/>
      <c r="AM48" s="130"/>
      <c r="AN48" s="130"/>
      <c r="AO48" s="130"/>
    </row>
    <row r="49">
      <c r="A49" s="131" t="s">
        <v>1674</v>
      </c>
      <c r="B49" s="136"/>
      <c r="C49" s="130"/>
      <c r="D49" s="130"/>
      <c r="E49" s="130"/>
      <c r="F49" s="130"/>
      <c r="G49" s="130"/>
      <c r="H49" s="130"/>
      <c r="I49" s="130"/>
      <c r="J49" s="130"/>
      <c r="K49" s="130"/>
      <c r="L49" s="130"/>
      <c r="M49" s="130"/>
      <c r="N49" s="130"/>
      <c r="O49" s="130"/>
      <c r="P49" s="133"/>
      <c r="Q49" s="133">
        <v>34.0</v>
      </c>
      <c r="R49" s="133">
        <v>34.0</v>
      </c>
      <c r="S49" s="133">
        <v>42.0</v>
      </c>
      <c r="T49" s="134">
        <v>50.0</v>
      </c>
      <c r="U49" s="133"/>
      <c r="V49" s="133"/>
      <c r="W49" s="133"/>
      <c r="X49" s="133"/>
      <c r="Y49" s="133"/>
      <c r="Z49" s="133"/>
      <c r="AA49" s="133"/>
      <c r="AB49" s="130"/>
      <c r="AC49" s="130"/>
      <c r="AD49" s="130"/>
      <c r="AE49" s="130"/>
      <c r="AF49" s="130"/>
      <c r="AG49" s="130"/>
      <c r="AH49" s="130"/>
      <c r="AI49" s="130"/>
      <c r="AJ49" s="130"/>
      <c r="AK49" s="130"/>
      <c r="AL49" s="130"/>
      <c r="AM49" s="130"/>
      <c r="AN49" s="130"/>
      <c r="AO49" s="130"/>
    </row>
    <row r="50">
      <c r="A50" s="131" t="s">
        <v>1675</v>
      </c>
      <c r="B50" s="136"/>
      <c r="C50" s="130"/>
      <c r="D50" s="130"/>
      <c r="E50" s="130"/>
      <c r="F50" s="130"/>
      <c r="G50" s="130"/>
      <c r="H50" s="130"/>
      <c r="I50" s="130"/>
      <c r="J50" s="130"/>
      <c r="K50" s="130"/>
      <c r="L50" s="130"/>
      <c r="M50" s="130"/>
      <c r="N50" s="130"/>
      <c r="O50" s="130"/>
      <c r="P50" s="133"/>
      <c r="Q50" s="133">
        <v>43.0</v>
      </c>
      <c r="R50" s="133">
        <v>51.0</v>
      </c>
      <c r="S50" s="133">
        <v>21.0</v>
      </c>
      <c r="T50" s="134">
        <v>18.0</v>
      </c>
      <c r="U50" s="133"/>
      <c r="V50" s="133"/>
      <c r="W50" s="133"/>
      <c r="X50" s="133"/>
      <c r="Y50" s="133"/>
      <c r="Z50" s="133"/>
      <c r="AA50" s="133"/>
      <c r="AB50" s="130"/>
      <c r="AC50" s="130"/>
      <c r="AD50" s="130"/>
      <c r="AE50" s="130"/>
      <c r="AF50" s="130"/>
      <c r="AG50" s="130"/>
      <c r="AH50" s="130"/>
      <c r="AI50" s="130"/>
      <c r="AJ50" s="130"/>
      <c r="AK50" s="130"/>
      <c r="AL50" s="130"/>
      <c r="AM50" s="130"/>
      <c r="AN50" s="130"/>
      <c r="AO50" s="130"/>
    </row>
    <row r="51">
      <c r="A51" s="131"/>
      <c r="B51" s="132"/>
      <c r="C51" s="130"/>
      <c r="D51" s="130"/>
      <c r="E51" s="130"/>
      <c r="F51" s="130"/>
      <c r="G51" s="130"/>
      <c r="H51" s="130"/>
      <c r="I51" s="130"/>
      <c r="J51" s="130"/>
      <c r="K51" s="130"/>
      <c r="L51" s="130"/>
      <c r="M51" s="130"/>
      <c r="N51" s="130"/>
      <c r="O51" s="130"/>
      <c r="P51" s="133"/>
      <c r="Q51" s="133"/>
      <c r="R51" s="133"/>
      <c r="S51" s="133"/>
      <c r="T51" s="134"/>
      <c r="U51" s="133"/>
      <c r="V51" s="133"/>
      <c r="W51" s="133"/>
      <c r="X51" s="133"/>
      <c r="Y51" s="133"/>
      <c r="Z51" s="133"/>
      <c r="AA51" s="133"/>
      <c r="AB51" s="130"/>
      <c r="AC51" s="130"/>
      <c r="AD51" s="130"/>
      <c r="AE51" s="130"/>
      <c r="AF51" s="130"/>
      <c r="AG51" s="130"/>
      <c r="AH51" s="130"/>
      <c r="AI51" s="130"/>
      <c r="AJ51" s="130"/>
      <c r="AK51" s="130"/>
      <c r="AL51" s="130"/>
      <c r="AM51" s="130"/>
      <c r="AN51" s="130"/>
      <c r="AO51" s="130"/>
    </row>
    <row r="52">
      <c r="A52" s="262" t="s">
        <v>1676</v>
      </c>
      <c r="B52" s="969"/>
      <c r="C52" s="969"/>
      <c r="D52" s="969"/>
      <c r="E52" s="969"/>
      <c r="F52" s="969"/>
      <c r="G52" s="969"/>
      <c r="H52" s="969"/>
      <c r="I52" s="969"/>
      <c r="J52" s="969"/>
      <c r="K52" s="969"/>
      <c r="L52" s="969"/>
      <c r="M52" s="969"/>
      <c r="N52" s="969"/>
      <c r="O52" s="969"/>
      <c r="P52" s="969"/>
      <c r="Q52" s="969"/>
      <c r="R52" s="969"/>
      <c r="S52" s="970"/>
      <c r="T52" s="969"/>
      <c r="U52" s="969"/>
      <c r="V52" s="969"/>
      <c r="W52" s="969"/>
      <c r="X52" s="969"/>
      <c r="Y52" s="969"/>
      <c r="Z52" s="969"/>
      <c r="AA52" s="971"/>
      <c r="AB52" s="971"/>
      <c r="AC52" s="971"/>
      <c r="AD52" s="971"/>
      <c r="AE52" s="971"/>
      <c r="AF52" s="147"/>
      <c r="AG52" s="147"/>
      <c r="AH52" s="147"/>
      <c r="AI52" s="147"/>
      <c r="AJ52" s="147"/>
      <c r="AK52" s="147"/>
      <c r="AL52" s="147"/>
      <c r="AM52" s="147"/>
      <c r="AN52" s="147"/>
      <c r="AO52" s="147"/>
    </row>
    <row r="53">
      <c r="A53" s="972" t="s">
        <v>1673</v>
      </c>
      <c r="B53" s="205"/>
      <c r="C53" s="205"/>
      <c r="D53" s="205"/>
      <c r="E53" s="205"/>
      <c r="F53" s="205"/>
      <c r="G53" s="205"/>
      <c r="H53" s="205"/>
      <c r="I53" s="205"/>
      <c r="J53" s="205"/>
      <c r="K53" s="205"/>
      <c r="L53" s="205"/>
      <c r="M53" s="205"/>
      <c r="N53" s="205"/>
      <c r="O53" s="205"/>
      <c r="P53" s="205"/>
      <c r="Q53" s="205"/>
      <c r="R53" s="379">
        <v>42.0</v>
      </c>
      <c r="S53" s="973">
        <v>50.0</v>
      </c>
      <c r="T53" s="379">
        <v>50.0</v>
      </c>
      <c r="U53" s="205"/>
      <c r="V53" s="205"/>
      <c r="W53" s="205"/>
      <c r="X53" s="205"/>
      <c r="Y53" s="205"/>
      <c r="Z53" s="205"/>
      <c r="AA53" s="147"/>
      <c r="AB53" s="147"/>
      <c r="AC53" s="147"/>
      <c r="AD53" s="147"/>
      <c r="AE53" s="147"/>
      <c r="AF53" s="147"/>
      <c r="AG53" s="147"/>
      <c r="AH53" s="147"/>
      <c r="AI53" s="147"/>
      <c r="AJ53" s="147"/>
      <c r="AK53" s="147"/>
      <c r="AL53" s="147"/>
      <c r="AM53" s="147"/>
      <c r="AN53" s="147"/>
      <c r="AO53" s="147"/>
    </row>
    <row r="54">
      <c r="A54" s="972" t="s">
        <v>1674</v>
      </c>
      <c r="B54" s="205"/>
      <c r="C54" s="205"/>
      <c r="D54" s="205"/>
      <c r="E54" s="205"/>
      <c r="F54" s="205"/>
      <c r="G54" s="205"/>
      <c r="H54" s="205"/>
      <c r="I54" s="205"/>
      <c r="J54" s="205"/>
      <c r="K54" s="205"/>
      <c r="L54" s="205"/>
      <c r="M54" s="205"/>
      <c r="N54" s="205"/>
      <c r="O54" s="205"/>
      <c r="P54" s="205"/>
      <c r="Q54" s="205"/>
      <c r="R54" s="379">
        <v>34.0</v>
      </c>
      <c r="S54" s="379">
        <v>8.0</v>
      </c>
      <c r="T54" s="974">
        <v>50.0</v>
      </c>
      <c r="U54" s="205"/>
      <c r="V54" s="205"/>
      <c r="W54" s="205"/>
      <c r="X54" s="205"/>
      <c r="Y54" s="205"/>
      <c r="Z54" s="205"/>
      <c r="AA54" s="147"/>
      <c r="AB54" s="147"/>
      <c r="AC54" s="147"/>
      <c r="AD54" s="147"/>
      <c r="AE54" s="147"/>
      <c r="AF54" s="147"/>
      <c r="AG54" s="147"/>
      <c r="AH54" s="147"/>
      <c r="AI54" s="147"/>
      <c r="AJ54" s="147"/>
      <c r="AK54" s="147"/>
      <c r="AL54" s="147"/>
      <c r="AM54" s="147"/>
      <c r="AN54" s="147"/>
      <c r="AO54" s="147"/>
    </row>
    <row r="55">
      <c r="A55" s="972" t="s">
        <v>1675</v>
      </c>
      <c r="B55" s="205"/>
      <c r="C55" s="205"/>
      <c r="D55" s="205"/>
      <c r="E55" s="205"/>
      <c r="F55" s="205"/>
      <c r="G55" s="205"/>
      <c r="H55" s="205"/>
      <c r="I55" s="205"/>
      <c r="J55" s="205"/>
      <c r="K55" s="205"/>
      <c r="L55" s="205"/>
      <c r="M55" s="205"/>
      <c r="N55" s="205"/>
      <c r="O55" s="205"/>
      <c r="P55" s="205"/>
      <c r="Q55" s="205"/>
      <c r="R55" s="379">
        <v>43.0</v>
      </c>
      <c r="S55" s="379">
        <v>21.0</v>
      </c>
      <c r="T55" s="974">
        <v>18.0</v>
      </c>
      <c r="U55" s="205"/>
      <c r="V55" s="205"/>
      <c r="W55" s="205"/>
      <c r="X55" s="205"/>
      <c r="Y55" s="205"/>
      <c r="Z55" s="205"/>
      <c r="AA55" s="147"/>
      <c r="AB55" s="147"/>
      <c r="AC55" s="147"/>
      <c r="AD55" s="147"/>
      <c r="AE55" s="147"/>
      <c r="AF55" s="147"/>
      <c r="AG55" s="147"/>
      <c r="AH55" s="147"/>
      <c r="AI55" s="147"/>
      <c r="AJ55" s="147"/>
      <c r="AK55" s="147"/>
      <c r="AL55" s="147"/>
      <c r="AM55" s="147"/>
      <c r="AN55" s="147"/>
      <c r="AO55" s="147"/>
    </row>
    <row r="56">
      <c r="A56" s="126" t="s">
        <v>225</v>
      </c>
      <c r="B56" s="410"/>
      <c r="C56" s="403"/>
      <c r="D56" s="403"/>
      <c r="E56" s="403"/>
      <c r="F56" s="403"/>
      <c r="G56" s="403"/>
      <c r="H56" s="403"/>
      <c r="I56" s="403"/>
      <c r="J56" s="403"/>
      <c r="K56" s="403"/>
      <c r="L56" s="403"/>
      <c r="M56" s="403"/>
      <c r="N56" s="403"/>
      <c r="O56" s="403"/>
      <c r="P56" s="403"/>
      <c r="Q56" s="403"/>
      <c r="R56" s="403"/>
      <c r="S56" s="403"/>
      <c r="T56" s="403"/>
      <c r="U56" s="403"/>
      <c r="V56" s="411"/>
      <c r="W56" s="403"/>
      <c r="X56" s="403"/>
      <c r="Y56" s="403"/>
      <c r="Z56" s="403"/>
      <c r="AA56" s="403"/>
      <c r="AB56" s="403"/>
      <c r="AC56" s="403"/>
      <c r="AD56" s="403"/>
      <c r="AE56" s="403"/>
      <c r="AF56" s="403"/>
      <c r="AG56" s="403"/>
      <c r="AH56" s="403"/>
      <c r="AI56" s="403"/>
      <c r="AJ56" s="403"/>
      <c r="AK56" s="403"/>
      <c r="AL56" s="403"/>
      <c r="AM56" s="403"/>
      <c r="AN56" s="403"/>
    </row>
    <row r="57">
      <c r="A57" s="131"/>
      <c r="B57" s="137"/>
      <c r="C57" s="133"/>
      <c r="D57" s="133"/>
      <c r="E57" s="133"/>
      <c r="F57" s="133"/>
      <c r="G57" s="133"/>
      <c r="H57" s="133"/>
      <c r="I57" s="133"/>
      <c r="J57" s="133"/>
      <c r="K57" s="133"/>
      <c r="L57" s="133"/>
      <c r="M57" s="133"/>
      <c r="N57" s="133"/>
      <c r="O57" s="133"/>
      <c r="P57" s="133"/>
      <c r="Q57" s="133"/>
      <c r="R57" s="133"/>
      <c r="S57" s="133"/>
      <c r="T57" s="134"/>
      <c r="U57" s="133"/>
      <c r="V57" s="133"/>
      <c r="W57" s="133"/>
      <c r="X57" s="133"/>
      <c r="Y57" s="133"/>
      <c r="Z57" s="133"/>
      <c r="AA57" s="130"/>
      <c r="AB57" s="130"/>
      <c r="AC57" s="130"/>
      <c r="AD57" s="130"/>
      <c r="AE57" s="130"/>
      <c r="AF57" s="130"/>
      <c r="AG57" s="130"/>
      <c r="AH57" s="130"/>
      <c r="AI57" s="130"/>
      <c r="AJ57" s="130"/>
      <c r="AK57" s="130"/>
      <c r="AL57" s="130"/>
      <c r="AM57" s="130"/>
      <c r="AN57" s="130"/>
      <c r="AO57" s="130"/>
    </row>
    <row r="58">
      <c r="B58" s="138"/>
      <c r="T58" s="31"/>
    </row>
    <row r="59">
      <c r="B59" s="138"/>
      <c r="T59" s="31"/>
    </row>
    <row r="60">
      <c r="B60" s="138"/>
      <c r="T60" s="31"/>
    </row>
    <row r="61">
      <c r="B61" s="138"/>
      <c r="T61" s="31"/>
    </row>
    <row r="62">
      <c r="B62" s="138"/>
      <c r="T62" s="31"/>
    </row>
    <row r="63">
      <c r="B63" s="138"/>
      <c r="T63" s="31"/>
    </row>
    <row r="64">
      <c r="B64" s="138"/>
      <c r="T64" s="31"/>
    </row>
    <row r="65">
      <c r="B65" s="138"/>
      <c r="T65" s="31"/>
    </row>
    <row r="66">
      <c r="B66" s="138"/>
      <c r="T66" s="31"/>
    </row>
    <row r="67">
      <c r="B67" s="138"/>
      <c r="T67" s="31"/>
    </row>
    <row r="68">
      <c r="B68" s="138"/>
      <c r="T68" s="31"/>
    </row>
    <row r="69">
      <c r="B69" s="138"/>
      <c r="T69" s="31"/>
    </row>
    <row r="70">
      <c r="B70" s="138"/>
      <c r="T70" s="31"/>
    </row>
    <row r="71">
      <c r="B71" s="138"/>
      <c r="T71" s="31"/>
    </row>
    <row r="72">
      <c r="B72" s="138"/>
      <c r="T72" s="31"/>
    </row>
    <row r="73">
      <c r="B73" s="138"/>
      <c r="T73" s="31"/>
    </row>
    <row r="74">
      <c r="B74" s="138"/>
      <c r="T74" s="31"/>
    </row>
    <row r="75">
      <c r="B75" s="138"/>
      <c r="T75" s="31"/>
    </row>
    <row r="76">
      <c r="B76" s="138"/>
      <c r="T76" s="31"/>
    </row>
    <row r="77">
      <c r="B77" s="138"/>
      <c r="T77" s="31"/>
    </row>
    <row r="78">
      <c r="B78" s="138"/>
      <c r="T78" s="31"/>
    </row>
    <row r="79">
      <c r="B79" s="138"/>
      <c r="T79" s="31"/>
    </row>
    <row r="80">
      <c r="B80" s="138"/>
      <c r="T80" s="31"/>
    </row>
    <row r="81">
      <c r="B81" s="138"/>
      <c r="T81" s="31"/>
    </row>
    <row r="82">
      <c r="B82" s="138"/>
      <c r="T82" s="31"/>
    </row>
    <row r="83">
      <c r="B83" s="138"/>
      <c r="T83" s="31"/>
    </row>
    <row r="84">
      <c r="B84" s="138"/>
      <c r="T84" s="31"/>
    </row>
    <row r="85">
      <c r="B85" s="138"/>
      <c r="T85" s="31"/>
    </row>
    <row r="86">
      <c r="B86" s="138"/>
      <c r="T86" s="31"/>
    </row>
    <row r="87">
      <c r="B87" s="138"/>
      <c r="T87" s="31"/>
    </row>
    <row r="88">
      <c r="B88" s="138"/>
      <c r="T88" s="31"/>
    </row>
    <row r="89">
      <c r="B89" s="138"/>
      <c r="T89" s="31"/>
    </row>
    <row r="90">
      <c r="B90" s="138"/>
      <c r="T90" s="31"/>
    </row>
    <row r="91">
      <c r="B91" s="138"/>
      <c r="T91" s="31"/>
    </row>
    <row r="92">
      <c r="B92" s="138"/>
      <c r="T92" s="31"/>
    </row>
    <row r="93">
      <c r="B93" s="138"/>
      <c r="T93" s="31"/>
    </row>
    <row r="94">
      <c r="B94" s="138"/>
      <c r="T94" s="31"/>
    </row>
    <row r="95">
      <c r="B95" s="138"/>
      <c r="T95" s="31"/>
    </row>
    <row r="96">
      <c r="B96" s="138"/>
      <c r="T96" s="31"/>
    </row>
    <row r="97">
      <c r="B97" s="138"/>
      <c r="T97" s="31"/>
    </row>
    <row r="98">
      <c r="B98" s="138"/>
      <c r="T98" s="31"/>
    </row>
    <row r="99">
      <c r="B99" s="138"/>
      <c r="T99" s="31"/>
    </row>
    <row r="100">
      <c r="B100" s="138"/>
      <c r="T100" s="31"/>
    </row>
    <row r="101">
      <c r="B101" s="138"/>
      <c r="T101" s="31"/>
    </row>
    <row r="102">
      <c r="B102" s="138"/>
      <c r="T102" s="31"/>
    </row>
    <row r="103">
      <c r="B103" s="138"/>
      <c r="T103" s="31"/>
    </row>
    <row r="104">
      <c r="B104" s="138"/>
      <c r="T104" s="31"/>
    </row>
    <row r="105">
      <c r="B105" s="138"/>
      <c r="T105" s="31"/>
    </row>
    <row r="106">
      <c r="B106" s="138"/>
      <c r="T106" s="31"/>
    </row>
    <row r="107">
      <c r="B107" s="138"/>
      <c r="T107" s="31"/>
    </row>
    <row r="108">
      <c r="B108" s="138"/>
      <c r="T108" s="31"/>
    </row>
    <row r="109">
      <c r="B109" s="138"/>
      <c r="T109" s="31"/>
    </row>
    <row r="110">
      <c r="B110" s="138"/>
      <c r="T110" s="31"/>
    </row>
    <row r="111">
      <c r="B111" s="138"/>
      <c r="T111" s="31"/>
    </row>
    <row r="112">
      <c r="B112" s="138"/>
      <c r="T112" s="31"/>
    </row>
    <row r="113">
      <c r="B113" s="138"/>
      <c r="T113" s="31"/>
    </row>
    <row r="114">
      <c r="B114" s="138"/>
      <c r="T114" s="31"/>
    </row>
    <row r="115">
      <c r="B115" s="138"/>
      <c r="T115" s="31"/>
    </row>
    <row r="116">
      <c r="B116" s="138"/>
      <c r="T116" s="31"/>
    </row>
    <row r="117">
      <c r="B117" s="138"/>
      <c r="T117" s="31"/>
    </row>
    <row r="118">
      <c r="B118" s="138"/>
      <c r="T118" s="31"/>
    </row>
    <row r="119">
      <c r="B119" s="138"/>
      <c r="T119" s="31"/>
    </row>
    <row r="120">
      <c r="B120" s="138"/>
      <c r="T120" s="31"/>
    </row>
    <row r="121">
      <c r="B121" s="138"/>
      <c r="T121" s="31"/>
    </row>
    <row r="122">
      <c r="B122" s="138"/>
      <c r="T122" s="31"/>
    </row>
    <row r="123">
      <c r="B123" s="138"/>
      <c r="T123" s="31"/>
    </row>
    <row r="124">
      <c r="B124" s="138"/>
      <c r="T124" s="31"/>
    </row>
    <row r="125">
      <c r="B125" s="138"/>
      <c r="T125" s="31"/>
    </row>
    <row r="126">
      <c r="B126" s="138"/>
      <c r="T126" s="31"/>
    </row>
    <row r="127">
      <c r="B127" s="138"/>
      <c r="T127" s="31"/>
    </row>
    <row r="128">
      <c r="B128" s="138"/>
      <c r="T128" s="31"/>
    </row>
    <row r="129">
      <c r="B129" s="138"/>
      <c r="T129" s="31"/>
    </row>
    <row r="130">
      <c r="B130" s="138"/>
      <c r="T130" s="31"/>
    </row>
    <row r="131">
      <c r="B131" s="138"/>
      <c r="T131" s="31"/>
    </row>
    <row r="132">
      <c r="B132" s="138"/>
      <c r="T132" s="31"/>
    </row>
    <row r="133">
      <c r="B133" s="138"/>
      <c r="T133" s="31"/>
    </row>
    <row r="134">
      <c r="B134" s="138"/>
      <c r="T134" s="31"/>
    </row>
    <row r="135">
      <c r="B135" s="138"/>
      <c r="T135" s="31"/>
    </row>
    <row r="136">
      <c r="B136" s="138"/>
      <c r="T136" s="31"/>
    </row>
    <row r="137">
      <c r="B137" s="138"/>
      <c r="T137" s="31"/>
    </row>
    <row r="138">
      <c r="B138" s="138"/>
      <c r="T138" s="31"/>
    </row>
    <row r="139">
      <c r="B139" s="138"/>
      <c r="T139" s="31"/>
    </row>
    <row r="140">
      <c r="B140" s="138"/>
      <c r="T140" s="31"/>
    </row>
    <row r="141">
      <c r="B141" s="138"/>
      <c r="T141" s="31"/>
    </row>
    <row r="142">
      <c r="B142" s="138"/>
      <c r="T142" s="31"/>
    </row>
    <row r="143">
      <c r="B143" s="138"/>
      <c r="T143" s="31"/>
    </row>
    <row r="144">
      <c r="B144" s="138"/>
      <c r="T144" s="31"/>
    </row>
    <row r="145">
      <c r="B145" s="138"/>
      <c r="T145" s="31"/>
    </row>
    <row r="146">
      <c r="B146" s="138"/>
      <c r="T146" s="31"/>
    </row>
    <row r="147">
      <c r="B147" s="138"/>
      <c r="T147" s="31"/>
    </row>
    <row r="148">
      <c r="B148" s="138"/>
      <c r="T148" s="31"/>
    </row>
    <row r="149">
      <c r="B149" s="138"/>
      <c r="T149" s="31"/>
    </row>
    <row r="150">
      <c r="B150" s="138"/>
      <c r="T150" s="31"/>
    </row>
    <row r="151">
      <c r="B151" s="138"/>
      <c r="T151" s="31"/>
    </row>
    <row r="152">
      <c r="B152" s="138"/>
      <c r="T152" s="31"/>
    </row>
    <row r="153">
      <c r="B153" s="138"/>
      <c r="T153" s="31"/>
    </row>
    <row r="154">
      <c r="B154" s="138"/>
      <c r="T154" s="31"/>
    </row>
    <row r="155">
      <c r="B155" s="138"/>
      <c r="T155" s="31"/>
    </row>
    <row r="156">
      <c r="B156" s="138"/>
      <c r="T156" s="31"/>
    </row>
    <row r="157">
      <c r="B157" s="138"/>
      <c r="T157" s="31"/>
    </row>
    <row r="158">
      <c r="B158" s="138"/>
      <c r="T158" s="31"/>
    </row>
    <row r="159">
      <c r="B159" s="138"/>
      <c r="T159" s="31"/>
    </row>
    <row r="160">
      <c r="B160" s="138"/>
      <c r="T160" s="31"/>
    </row>
    <row r="161">
      <c r="B161" s="138"/>
      <c r="T161" s="31"/>
    </row>
    <row r="162">
      <c r="B162" s="138"/>
      <c r="T162" s="31"/>
    </row>
    <row r="163">
      <c r="B163" s="138"/>
      <c r="T163" s="31"/>
    </row>
    <row r="164">
      <c r="B164" s="138"/>
      <c r="T164" s="31"/>
    </row>
    <row r="165">
      <c r="B165" s="138"/>
      <c r="T165" s="31"/>
    </row>
    <row r="166">
      <c r="B166" s="138"/>
      <c r="T166" s="31"/>
    </row>
    <row r="167">
      <c r="B167" s="138"/>
      <c r="T167" s="31"/>
    </row>
    <row r="168">
      <c r="B168" s="138"/>
      <c r="T168" s="31"/>
    </row>
    <row r="169">
      <c r="B169" s="138"/>
      <c r="T169" s="31"/>
    </row>
    <row r="170">
      <c r="B170" s="138"/>
      <c r="T170" s="31"/>
    </row>
    <row r="171">
      <c r="B171" s="138"/>
      <c r="T171" s="31"/>
    </row>
    <row r="172">
      <c r="B172" s="138"/>
      <c r="T172" s="31"/>
    </row>
    <row r="173">
      <c r="B173" s="138"/>
      <c r="T173" s="31"/>
    </row>
    <row r="174">
      <c r="B174" s="138"/>
      <c r="T174" s="31"/>
    </row>
    <row r="175">
      <c r="B175" s="138"/>
      <c r="T175" s="31"/>
    </row>
    <row r="176">
      <c r="B176" s="138"/>
      <c r="T176" s="31"/>
    </row>
    <row r="177">
      <c r="B177" s="138"/>
      <c r="T177" s="31"/>
    </row>
    <row r="178">
      <c r="B178" s="138"/>
      <c r="T178" s="31"/>
    </row>
    <row r="179">
      <c r="B179" s="138"/>
      <c r="T179" s="31"/>
    </row>
    <row r="180">
      <c r="B180" s="138"/>
      <c r="T180" s="31"/>
    </row>
    <row r="181">
      <c r="B181" s="138"/>
      <c r="T181" s="31"/>
    </row>
    <row r="182">
      <c r="B182" s="138"/>
      <c r="T182" s="31"/>
    </row>
    <row r="183">
      <c r="B183" s="138"/>
      <c r="T183" s="31"/>
    </row>
    <row r="184">
      <c r="B184" s="138"/>
      <c r="T184" s="31"/>
    </row>
    <row r="185">
      <c r="B185" s="138"/>
      <c r="T185" s="31"/>
    </row>
    <row r="186">
      <c r="B186" s="138"/>
      <c r="T186" s="31"/>
    </row>
    <row r="187">
      <c r="B187" s="138"/>
      <c r="T187" s="31"/>
    </row>
    <row r="188">
      <c r="B188" s="138"/>
      <c r="T188" s="31"/>
    </row>
    <row r="189">
      <c r="B189" s="138"/>
      <c r="T189" s="31"/>
    </row>
    <row r="190">
      <c r="B190" s="138"/>
      <c r="T190" s="31"/>
    </row>
    <row r="191">
      <c r="B191" s="138"/>
      <c r="T191" s="31"/>
    </row>
    <row r="192">
      <c r="B192" s="138"/>
      <c r="T192" s="31"/>
    </row>
    <row r="193">
      <c r="B193" s="138"/>
      <c r="T193" s="31"/>
    </row>
    <row r="194">
      <c r="B194" s="138"/>
      <c r="T194" s="31"/>
    </row>
    <row r="195">
      <c r="B195" s="138"/>
      <c r="T195" s="31"/>
    </row>
    <row r="196">
      <c r="B196" s="138"/>
      <c r="T196" s="31"/>
    </row>
    <row r="197">
      <c r="B197" s="138"/>
      <c r="T197" s="31"/>
    </row>
    <row r="198">
      <c r="B198" s="138"/>
      <c r="T198" s="31"/>
    </row>
    <row r="199">
      <c r="B199" s="138"/>
      <c r="T199" s="31"/>
    </row>
    <row r="200">
      <c r="B200" s="138"/>
      <c r="T200" s="31"/>
    </row>
    <row r="201">
      <c r="B201" s="138"/>
      <c r="T201" s="31"/>
    </row>
    <row r="202">
      <c r="B202" s="138"/>
      <c r="T202" s="31"/>
    </row>
    <row r="203">
      <c r="B203" s="138"/>
      <c r="T203" s="31"/>
    </row>
    <row r="204">
      <c r="B204" s="138"/>
      <c r="T204" s="31"/>
    </row>
    <row r="205">
      <c r="B205" s="138"/>
      <c r="T205" s="31"/>
    </row>
    <row r="206">
      <c r="B206" s="138"/>
      <c r="T206" s="31"/>
    </row>
    <row r="207">
      <c r="B207" s="138"/>
      <c r="T207" s="31"/>
    </row>
    <row r="208">
      <c r="B208" s="138"/>
      <c r="T208" s="31"/>
    </row>
    <row r="209">
      <c r="B209" s="138"/>
      <c r="T209" s="31"/>
    </row>
    <row r="210">
      <c r="B210" s="138"/>
      <c r="T210" s="31"/>
    </row>
    <row r="211">
      <c r="B211" s="138"/>
      <c r="T211" s="31"/>
    </row>
    <row r="212">
      <c r="B212" s="138"/>
      <c r="T212" s="31"/>
    </row>
    <row r="213">
      <c r="B213" s="138"/>
      <c r="T213" s="31"/>
    </row>
    <row r="214">
      <c r="B214" s="138"/>
      <c r="T214" s="31"/>
    </row>
    <row r="215">
      <c r="B215" s="138"/>
      <c r="T215" s="31"/>
    </row>
    <row r="216">
      <c r="B216" s="138"/>
      <c r="T216" s="31"/>
    </row>
    <row r="217">
      <c r="B217" s="138"/>
      <c r="T217" s="31"/>
    </row>
    <row r="218">
      <c r="B218" s="138"/>
      <c r="T218" s="31"/>
    </row>
    <row r="219">
      <c r="B219" s="138"/>
      <c r="T219" s="31"/>
    </row>
    <row r="220">
      <c r="B220" s="138"/>
      <c r="T220" s="31"/>
    </row>
    <row r="221">
      <c r="B221" s="138"/>
      <c r="T221" s="31"/>
    </row>
    <row r="222">
      <c r="B222" s="138"/>
      <c r="T222" s="31"/>
    </row>
    <row r="223">
      <c r="B223" s="138"/>
      <c r="T223" s="31"/>
    </row>
    <row r="224">
      <c r="B224" s="138"/>
      <c r="T224" s="31"/>
    </row>
    <row r="225">
      <c r="B225" s="138"/>
      <c r="T225" s="31"/>
    </row>
    <row r="226">
      <c r="B226" s="138"/>
      <c r="T226" s="31"/>
    </row>
    <row r="227">
      <c r="B227" s="138"/>
      <c r="T227" s="31"/>
    </row>
    <row r="228">
      <c r="B228" s="138"/>
      <c r="T228" s="31"/>
    </row>
    <row r="229">
      <c r="B229" s="138"/>
      <c r="T229" s="31"/>
    </row>
    <row r="230">
      <c r="B230" s="138"/>
      <c r="T230" s="31"/>
    </row>
    <row r="231">
      <c r="B231" s="138"/>
      <c r="T231" s="31"/>
    </row>
    <row r="232">
      <c r="B232" s="138"/>
      <c r="T232" s="31"/>
    </row>
    <row r="233">
      <c r="B233" s="138"/>
      <c r="T233" s="31"/>
    </row>
    <row r="234">
      <c r="B234" s="138"/>
      <c r="T234" s="31"/>
    </row>
    <row r="235">
      <c r="B235" s="138"/>
      <c r="T235" s="31"/>
    </row>
    <row r="236">
      <c r="B236" s="138"/>
      <c r="T236" s="31"/>
    </row>
    <row r="237">
      <c r="B237" s="138"/>
      <c r="T237" s="31"/>
    </row>
    <row r="238">
      <c r="B238" s="138"/>
      <c r="T238" s="31"/>
    </row>
    <row r="239">
      <c r="B239" s="138"/>
      <c r="T239" s="31"/>
    </row>
    <row r="240">
      <c r="B240" s="138"/>
      <c r="T240" s="31"/>
    </row>
    <row r="241">
      <c r="B241" s="138"/>
      <c r="T241" s="31"/>
    </row>
    <row r="242">
      <c r="B242" s="138"/>
      <c r="T242" s="31"/>
    </row>
    <row r="243">
      <c r="B243" s="138"/>
      <c r="T243" s="31"/>
    </row>
    <row r="244">
      <c r="B244" s="138"/>
      <c r="T244" s="31"/>
    </row>
    <row r="245">
      <c r="B245" s="138"/>
      <c r="T245" s="31"/>
    </row>
    <row r="246">
      <c r="B246" s="138"/>
      <c r="T246" s="31"/>
    </row>
    <row r="247">
      <c r="B247" s="138"/>
      <c r="T247" s="31"/>
    </row>
    <row r="248">
      <c r="B248" s="138"/>
      <c r="T248" s="31"/>
    </row>
    <row r="249">
      <c r="B249" s="138"/>
      <c r="T249" s="31"/>
    </row>
    <row r="250">
      <c r="B250" s="138"/>
      <c r="T250" s="31"/>
    </row>
    <row r="251">
      <c r="B251" s="138"/>
      <c r="T251" s="31"/>
    </row>
    <row r="252">
      <c r="B252" s="138"/>
      <c r="T252" s="31"/>
    </row>
    <row r="253">
      <c r="B253" s="138"/>
      <c r="T253" s="31"/>
    </row>
    <row r="254">
      <c r="B254" s="138"/>
      <c r="T254" s="31"/>
    </row>
    <row r="255">
      <c r="B255" s="138"/>
      <c r="T255" s="31"/>
    </row>
    <row r="256">
      <c r="B256" s="138"/>
      <c r="T256" s="31"/>
    </row>
    <row r="257">
      <c r="B257" s="138"/>
      <c r="T257" s="31"/>
    </row>
    <row r="258">
      <c r="B258" s="138"/>
      <c r="T258" s="31"/>
    </row>
    <row r="259">
      <c r="B259" s="138"/>
      <c r="T259" s="31"/>
    </row>
    <row r="260">
      <c r="B260" s="138"/>
      <c r="T260" s="31"/>
    </row>
    <row r="261">
      <c r="B261" s="138"/>
      <c r="T261" s="31"/>
    </row>
    <row r="262">
      <c r="B262" s="138"/>
      <c r="T262" s="31"/>
    </row>
    <row r="263">
      <c r="B263" s="138"/>
      <c r="T263" s="31"/>
    </row>
    <row r="264">
      <c r="B264" s="138"/>
      <c r="T264" s="31"/>
    </row>
    <row r="265">
      <c r="B265" s="138"/>
      <c r="T265" s="31"/>
    </row>
    <row r="266">
      <c r="B266" s="138"/>
      <c r="T266" s="31"/>
    </row>
    <row r="267">
      <c r="B267" s="138"/>
      <c r="T267" s="31"/>
    </row>
    <row r="268">
      <c r="B268" s="138"/>
      <c r="T268" s="31"/>
    </row>
    <row r="269">
      <c r="B269" s="138"/>
      <c r="T269" s="31"/>
    </row>
    <row r="270">
      <c r="B270" s="138"/>
      <c r="T270" s="31"/>
    </row>
    <row r="271">
      <c r="B271" s="138"/>
      <c r="T271" s="31"/>
    </row>
    <row r="272">
      <c r="B272" s="138"/>
      <c r="T272" s="31"/>
    </row>
    <row r="273">
      <c r="B273" s="138"/>
      <c r="T273" s="31"/>
    </row>
    <row r="274">
      <c r="B274" s="138"/>
      <c r="T274" s="31"/>
    </row>
    <row r="275">
      <c r="B275" s="138"/>
      <c r="T275" s="31"/>
    </row>
    <row r="276">
      <c r="B276" s="138"/>
      <c r="T276" s="31"/>
    </row>
    <row r="277">
      <c r="B277" s="138"/>
      <c r="T277" s="31"/>
    </row>
    <row r="278">
      <c r="B278" s="138"/>
      <c r="T278" s="31"/>
    </row>
    <row r="279">
      <c r="B279" s="138"/>
      <c r="T279" s="31"/>
    </row>
    <row r="280">
      <c r="B280" s="138"/>
      <c r="T280" s="31"/>
    </row>
    <row r="281">
      <c r="B281" s="138"/>
      <c r="T281" s="31"/>
    </row>
    <row r="282">
      <c r="B282" s="138"/>
      <c r="T282" s="31"/>
    </row>
    <row r="283">
      <c r="B283" s="138"/>
      <c r="T283" s="31"/>
    </row>
    <row r="284">
      <c r="B284" s="138"/>
      <c r="T284" s="31"/>
    </row>
    <row r="285">
      <c r="B285" s="138"/>
      <c r="T285" s="31"/>
    </row>
    <row r="286">
      <c r="B286" s="138"/>
      <c r="T286" s="31"/>
    </row>
    <row r="287">
      <c r="B287" s="138"/>
      <c r="T287" s="31"/>
    </row>
    <row r="288">
      <c r="B288" s="138"/>
      <c r="T288" s="31"/>
    </row>
    <row r="289">
      <c r="B289" s="138"/>
      <c r="T289" s="31"/>
    </row>
    <row r="290">
      <c r="B290" s="138"/>
      <c r="T290" s="31"/>
    </row>
    <row r="291">
      <c r="B291" s="138"/>
      <c r="T291" s="31"/>
    </row>
    <row r="292">
      <c r="B292" s="138"/>
      <c r="T292" s="31"/>
    </row>
    <row r="293">
      <c r="B293" s="138"/>
      <c r="T293" s="31"/>
    </row>
    <row r="294">
      <c r="B294" s="138"/>
      <c r="T294" s="31"/>
    </row>
    <row r="295">
      <c r="B295" s="138"/>
      <c r="T295" s="31"/>
    </row>
    <row r="296">
      <c r="B296" s="138"/>
      <c r="T296" s="31"/>
    </row>
    <row r="297">
      <c r="B297" s="138"/>
      <c r="T297" s="31"/>
    </row>
    <row r="298">
      <c r="B298" s="138"/>
      <c r="T298" s="31"/>
    </row>
    <row r="299">
      <c r="B299" s="138"/>
      <c r="T299" s="31"/>
    </row>
    <row r="300">
      <c r="B300" s="138"/>
      <c r="T300" s="31"/>
    </row>
    <row r="301">
      <c r="B301" s="138"/>
      <c r="T301" s="31"/>
    </row>
    <row r="302">
      <c r="B302" s="138"/>
      <c r="T302" s="31"/>
    </row>
    <row r="303">
      <c r="B303" s="138"/>
      <c r="T303" s="31"/>
    </row>
    <row r="304">
      <c r="B304" s="138"/>
      <c r="T304" s="31"/>
    </row>
    <row r="305">
      <c r="B305" s="138"/>
      <c r="T305" s="31"/>
    </row>
    <row r="306">
      <c r="B306" s="138"/>
      <c r="T306" s="31"/>
    </row>
    <row r="307">
      <c r="B307" s="138"/>
      <c r="T307" s="31"/>
    </row>
    <row r="308">
      <c r="B308" s="138"/>
      <c r="T308" s="31"/>
    </row>
    <row r="309">
      <c r="B309" s="138"/>
      <c r="T309" s="31"/>
    </row>
    <row r="310">
      <c r="B310" s="138"/>
      <c r="T310" s="31"/>
    </row>
    <row r="311">
      <c r="B311" s="138"/>
      <c r="T311" s="31"/>
    </row>
    <row r="312">
      <c r="B312" s="138"/>
      <c r="T312" s="31"/>
    </row>
    <row r="313">
      <c r="B313" s="138"/>
      <c r="T313" s="31"/>
    </row>
    <row r="314">
      <c r="B314" s="138"/>
      <c r="T314" s="31"/>
    </row>
    <row r="315">
      <c r="B315" s="138"/>
      <c r="T315" s="31"/>
    </row>
    <row r="316">
      <c r="B316" s="138"/>
      <c r="T316" s="31"/>
    </row>
    <row r="317">
      <c r="B317" s="138"/>
      <c r="T317" s="31"/>
    </row>
    <row r="318">
      <c r="B318" s="138"/>
      <c r="T318" s="31"/>
    </row>
    <row r="319">
      <c r="B319" s="138"/>
      <c r="T319" s="31"/>
    </row>
    <row r="320">
      <c r="B320" s="138"/>
      <c r="T320" s="31"/>
    </row>
    <row r="321">
      <c r="B321" s="138"/>
      <c r="T321" s="31"/>
    </row>
    <row r="322">
      <c r="B322" s="138"/>
      <c r="T322" s="31"/>
    </row>
    <row r="323">
      <c r="B323" s="138"/>
      <c r="T323" s="31"/>
    </row>
    <row r="324">
      <c r="B324" s="138"/>
      <c r="T324" s="31"/>
    </row>
    <row r="325">
      <c r="B325" s="138"/>
      <c r="T325" s="31"/>
    </row>
    <row r="326">
      <c r="B326" s="138"/>
      <c r="T326" s="31"/>
    </row>
    <row r="327">
      <c r="B327" s="138"/>
      <c r="T327" s="31"/>
    </row>
    <row r="328">
      <c r="B328" s="138"/>
      <c r="T328" s="31"/>
    </row>
    <row r="329">
      <c r="B329" s="138"/>
      <c r="T329" s="31"/>
    </row>
    <row r="330">
      <c r="B330" s="138"/>
      <c r="T330" s="31"/>
    </row>
    <row r="331">
      <c r="B331" s="138"/>
      <c r="T331" s="31"/>
    </row>
    <row r="332">
      <c r="B332" s="138"/>
      <c r="T332" s="31"/>
    </row>
    <row r="333">
      <c r="B333" s="138"/>
      <c r="T333" s="31"/>
    </row>
    <row r="334">
      <c r="B334" s="138"/>
      <c r="T334" s="31"/>
    </row>
    <row r="335">
      <c r="B335" s="138"/>
      <c r="T335" s="31"/>
    </row>
    <row r="336">
      <c r="B336" s="138"/>
      <c r="T336" s="31"/>
    </row>
    <row r="337">
      <c r="B337" s="138"/>
      <c r="T337" s="31"/>
    </row>
    <row r="338">
      <c r="B338" s="138"/>
      <c r="T338" s="31"/>
    </row>
    <row r="339">
      <c r="B339" s="138"/>
      <c r="T339" s="31"/>
    </row>
    <row r="340">
      <c r="B340" s="138"/>
      <c r="T340" s="31"/>
    </row>
    <row r="341">
      <c r="B341" s="138"/>
      <c r="T341" s="31"/>
    </row>
    <row r="342">
      <c r="B342" s="138"/>
      <c r="T342" s="31"/>
    </row>
    <row r="343">
      <c r="B343" s="138"/>
      <c r="T343" s="31"/>
    </row>
    <row r="344">
      <c r="B344" s="138"/>
      <c r="T344" s="31"/>
    </row>
    <row r="345">
      <c r="B345" s="138"/>
      <c r="T345" s="31"/>
    </row>
    <row r="346">
      <c r="B346" s="138"/>
      <c r="T346" s="31"/>
    </row>
    <row r="347">
      <c r="B347" s="138"/>
      <c r="T347" s="31"/>
    </row>
    <row r="348">
      <c r="B348" s="138"/>
      <c r="T348" s="31"/>
    </row>
    <row r="349">
      <c r="B349" s="138"/>
      <c r="T349" s="31"/>
    </row>
    <row r="350">
      <c r="B350" s="138"/>
      <c r="T350" s="31"/>
    </row>
    <row r="351">
      <c r="B351" s="138"/>
      <c r="T351" s="31"/>
    </row>
    <row r="352">
      <c r="B352" s="138"/>
      <c r="T352" s="31"/>
    </row>
    <row r="353">
      <c r="B353" s="138"/>
      <c r="T353" s="31"/>
    </row>
    <row r="354">
      <c r="B354" s="138"/>
      <c r="T354" s="31"/>
    </row>
    <row r="355">
      <c r="B355" s="138"/>
      <c r="T355" s="31"/>
    </row>
    <row r="356">
      <c r="B356" s="138"/>
      <c r="T356" s="31"/>
    </row>
    <row r="357">
      <c r="B357" s="138"/>
      <c r="T357" s="31"/>
    </row>
    <row r="358">
      <c r="B358" s="138"/>
      <c r="T358" s="31"/>
    </row>
    <row r="359">
      <c r="B359" s="138"/>
      <c r="T359" s="31"/>
    </row>
    <row r="360">
      <c r="B360" s="138"/>
      <c r="T360" s="31"/>
    </row>
    <row r="361">
      <c r="B361" s="138"/>
      <c r="T361" s="31"/>
    </row>
    <row r="362">
      <c r="B362" s="138"/>
      <c r="T362" s="31"/>
    </row>
    <row r="363">
      <c r="B363" s="138"/>
      <c r="T363" s="31"/>
    </row>
    <row r="364">
      <c r="B364" s="138"/>
      <c r="T364" s="31"/>
    </row>
    <row r="365">
      <c r="B365" s="138"/>
      <c r="T365" s="31"/>
    </row>
    <row r="366">
      <c r="B366" s="138"/>
      <c r="T366" s="31"/>
    </row>
    <row r="367">
      <c r="B367" s="138"/>
      <c r="T367" s="31"/>
    </row>
    <row r="368">
      <c r="B368" s="138"/>
      <c r="T368" s="31"/>
    </row>
    <row r="369">
      <c r="B369" s="138"/>
      <c r="T369" s="31"/>
    </row>
    <row r="370">
      <c r="B370" s="138"/>
      <c r="T370" s="31"/>
    </row>
    <row r="371">
      <c r="B371" s="138"/>
      <c r="T371" s="31"/>
    </row>
    <row r="372">
      <c r="B372" s="138"/>
      <c r="T372" s="31"/>
    </row>
    <row r="373">
      <c r="B373" s="138"/>
      <c r="T373" s="31"/>
    </row>
    <row r="374">
      <c r="B374" s="138"/>
      <c r="T374" s="31"/>
    </row>
    <row r="375">
      <c r="B375" s="138"/>
      <c r="T375" s="31"/>
    </row>
    <row r="376">
      <c r="B376" s="138"/>
      <c r="T376" s="31"/>
    </row>
    <row r="377">
      <c r="B377" s="138"/>
      <c r="T377" s="31"/>
    </row>
    <row r="378">
      <c r="B378" s="138"/>
      <c r="T378" s="31"/>
    </row>
    <row r="379">
      <c r="B379" s="138"/>
      <c r="T379" s="31"/>
    </row>
    <row r="380">
      <c r="B380" s="138"/>
      <c r="T380" s="31"/>
    </row>
    <row r="381">
      <c r="B381" s="138"/>
      <c r="T381" s="31"/>
    </row>
    <row r="382">
      <c r="B382" s="138"/>
      <c r="T382" s="31"/>
    </row>
    <row r="383">
      <c r="B383" s="138"/>
      <c r="T383" s="31"/>
    </row>
    <row r="384">
      <c r="B384" s="138"/>
      <c r="T384" s="31"/>
    </row>
    <row r="385">
      <c r="B385" s="138"/>
      <c r="T385" s="31"/>
    </row>
    <row r="386">
      <c r="B386" s="138"/>
      <c r="T386" s="31"/>
    </row>
    <row r="387">
      <c r="B387" s="138"/>
      <c r="T387" s="31"/>
    </row>
    <row r="388">
      <c r="B388" s="138"/>
      <c r="T388" s="31"/>
    </row>
    <row r="389">
      <c r="B389" s="138"/>
      <c r="T389" s="31"/>
    </row>
    <row r="390">
      <c r="B390" s="138"/>
      <c r="T390" s="31"/>
    </row>
    <row r="391">
      <c r="B391" s="138"/>
      <c r="T391" s="31"/>
    </row>
    <row r="392">
      <c r="B392" s="138"/>
      <c r="T392" s="31"/>
    </row>
    <row r="393">
      <c r="B393" s="138"/>
      <c r="T393" s="31"/>
    </row>
    <row r="394">
      <c r="B394" s="138"/>
      <c r="T394" s="31"/>
    </row>
    <row r="395">
      <c r="B395" s="138"/>
      <c r="T395" s="31"/>
    </row>
    <row r="396">
      <c r="B396" s="138"/>
      <c r="T396" s="31"/>
    </row>
    <row r="397">
      <c r="B397" s="138"/>
      <c r="T397" s="31"/>
    </row>
    <row r="398">
      <c r="B398" s="138"/>
      <c r="T398" s="31"/>
    </row>
    <row r="399">
      <c r="B399" s="138"/>
      <c r="T399" s="31"/>
    </row>
    <row r="400">
      <c r="B400" s="138"/>
      <c r="T400" s="31"/>
    </row>
    <row r="401">
      <c r="B401" s="138"/>
      <c r="T401" s="31"/>
    </row>
    <row r="402">
      <c r="B402" s="138"/>
      <c r="T402" s="31"/>
    </row>
    <row r="403">
      <c r="B403" s="138"/>
      <c r="T403" s="31"/>
    </row>
    <row r="404">
      <c r="B404" s="138"/>
      <c r="T404" s="31"/>
    </row>
    <row r="405">
      <c r="B405" s="138"/>
      <c r="T405" s="31"/>
    </row>
    <row r="406">
      <c r="B406" s="138"/>
      <c r="T406" s="31"/>
    </row>
    <row r="407">
      <c r="B407" s="138"/>
      <c r="T407" s="31"/>
    </row>
    <row r="408">
      <c r="B408" s="138"/>
      <c r="T408" s="31"/>
    </row>
    <row r="409">
      <c r="B409" s="138"/>
      <c r="T409" s="31"/>
    </row>
    <row r="410">
      <c r="B410" s="138"/>
      <c r="T410" s="31"/>
    </row>
    <row r="411">
      <c r="B411" s="138"/>
      <c r="T411" s="31"/>
    </row>
    <row r="412">
      <c r="B412" s="138"/>
      <c r="T412" s="31"/>
    </row>
    <row r="413">
      <c r="B413" s="138"/>
      <c r="T413" s="31"/>
    </row>
    <row r="414">
      <c r="B414" s="138"/>
      <c r="T414" s="31"/>
    </row>
    <row r="415">
      <c r="B415" s="138"/>
      <c r="T415" s="31"/>
    </row>
    <row r="416">
      <c r="B416" s="138"/>
      <c r="T416" s="31"/>
    </row>
    <row r="417">
      <c r="B417" s="138"/>
      <c r="T417" s="31"/>
    </row>
    <row r="418">
      <c r="B418" s="138"/>
      <c r="T418" s="31"/>
    </row>
    <row r="419">
      <c r="B419" s="138"/>
      <c r="T419" s="31"/>
    </row>
    <row r="420">
      <c r="B420" s="138"/>
      <c r="T420" s="31"/>
    </row>
    <row r="421">
      <c r="B421" s="138"/>
      <c r="T421" s="31"/>
    </row>
    <row r="422">
      <c r="B422" s="138"/>
      <c r="T422" s="31"/>
    </row>
    <row r="423">
      <c r="B423" s="138"/>
      <c r="T423" s="31"/>
    </row>
    <row r="424">
      <c r="B424" s="138"/>
      <c r="T424" s="31"/>
    </row>
    <row r="425">
      <c r="B425" s="138"/>
      <c r="T425" s="31"/>
    </row>
    <row r="426">
      <c r="B426" s="138"/>
      <c r="T426" s="31"/>
    </row>
    <row r="427">
      <c r="B427" s="138"/>
      <c r="T427" s="31"/>
    </row>
    <row r="428">
      <c r="B428" s="138"/>
      <c r="T428" s="31"/>
    </row>
    <row r="429">
      <c r="B429" s="138"/>
      <c r="T429" s="31"/>
    </row>
    <row r="430">
      <c r="B430" s="138"/>
      <c r="T430" s="31"/>
    </row>
    <row r="431">
      <c r="B431" s="138"/>
      <c r="T431" s="31"/>
    </row>
    <row r="432">
      <c r="B432" s="138"/>
      <c r="T432" s="31"/>
    </row>
    <row r="433">
      <c r="B433" s="138"/>
      <c r="T433" s="31"/>
    </row>
    <row r="434">
      <c r="B434" s="138"/>
      <c r="T434" s="31"/>
    </row>
    <row r="435">
      <c r="B435" s="138"/>
      <c r="T435" s="31"/>
    </row>
    <row r="436">
      <c r="B436" s="138"/>
      <c r="T436" s="31"/>
    </row>
    <row r="437">
      <c r="B437" s="138"/>
      <c r="T437" s="31"/>
    </row>
    <row r="438">
      <c r="B438" s="138"/>
      <c r="T438" s="31"/>
    </row>
    <row r="439">
      <c r="B439" s="138"/>
      <c r="T439" s="31"/>
    </row>
    <row r="440">
      <c r="B440" s="138"/>
      <c r="T440" s="31"/>
    </row>
    <row r="441">
      <c r="B441" s="138"/>
      <c r="T441" s="31"/>
    </row>
    <row r="442">
      <c r="B442" s="138"/>
      <c r="T442" s="31"/>
    </row>
    <row r="443">
      <c r="B443" s="138"/>
      <c r="T443" s="31"/>
    </row>
    <row r="444">
      <c r="B444" s="138"/>
      <c r="T444" s="31"/>
    </row>
    <row r="445">
      <c r="B445" s="138"/>
      <c r="T445" s="31"/>
    </row>
    <row r="446">
      <c r="B446" s="138"/>
      <c r="T446" s="31"/>
    </row>
    <row r="447">
      <c r="B447" s="138"/>
      <c r="T447" s="31"/>
    </row>
    <row r="448">
      <c r="B448" s="138"/>
      <c r="T448" s="31"/>
    </row>
    <row r="449">
      <c r="B449" s="138"/>
      <c r="T449" s="31"/>
    </row>
    <row r="450">
      <c r="B450" s="138"/>
      <c r="T450" s="31"/>
    </row>
    <row r="451">
      <c r="B451" s="138"/>
      <c r="T451" s="31"/>
    </row>
    <row r="452">
      <c r="B452" s="138"/>
      <c r="T452" s="31"/>
    </row>
    <row r="453">
      <c r="B453" s="138"/>
      <c r="T453" s="31"/>
    </row>
    <row r="454">
      <c r="B454" s="138"/>
      <c r="T454" s="31"/>
    </row>
    <row r="455">
      <c r="B455" s="138"/>
      <c r="T455" s="31"/>
    </row>
    <row r="456">
      <c r="B456" s="138"/>
      <c r="T456" s="31"/>
    </row>
    <row r="457">
      <c r="B457" s="138"/>
      <c r="T457" s="31"/>
    </row>
    <row r="458">
      <c r="B458" s="138"/>
      <c r="T458" s="31"/>
    </row>
    <row r="459">
      <c r="B459" s="138"/>
      <c r="T459" s="31"/>
    </row>
    <row r="460">
      <c r="B460" s="138"/>
      <c r="T460" s="31"/>
    </row>
    <row r="461">
      <c r="B461" s="138"/>
      <c r="T461" s="31"/>
    </row>
    <row r="462">
      <c r="B462" s="138"/>
      <c r="T462" s="31"/>
    </row>
    <row r="463">
      <c r="B463" s="138"/>
      <c r="T463" s="31"/>
    </row>
    <row r="464">
      <c r="B464" s="138"/>
      <c r="T464" s="31"/>
    </row>
    <row r="465">
      <c r="B465" s="138"/>
      <c r="T465" s="31"/>
    </row>
    <row r="466">
      <c r="B466" s="138"/>
      <c r="T466" s="31"/>
    </row>
    <row r="467">
      <c r="B467" s="138"/>
      <c r="T467" s="31"/>
    </row>
    <row r="468">
      <c r="B468" s="138"/>
      <c r="T468" s="31"/>
    </row>
    <row r="469">
      <c r="B469" s="138"/>
      <c r="T469" s="31"/>
    </row>
    <row r="470">
      <c r="B470" s="138"/>
      <c r="T470" s="31"/>
    </row>
    <row r="471">
      <c r="B471" s="138"/>
      <c r="T471" s="31"/>
    </row>
    <row r="472">
      <c r="B472" s="138"/>
      <c r="T472" s="31"/>
    </row>
    <row r="473">
      <c r="B473" s="138"/>
      <c r="T473" s="31"/>
    </row>
    <row r="474">
      <c r="B474" s="138"/>
      <c r="T474" s="31"/>
    </row>
    <row r="475">
      <c r="B475" s="138"/>
      <c r="T475" s="31"/>
    </row>
    <row r="476">
      <c r="B476" s="138"/>
      <c r="T476" s="31"/>
    </row>
    <row r="477">
      <c r="B477" s="138"/>
      <c r="T477" s="31"/>
    </row>
    <row r="478">
      <c r="B478" s="138"/>
      <c r="T478" s="31"/>
    </row>
    <row r="479">
      <c r="B479" s="138"/>
      <c r="T479" s="31"/>
    </row>
    <row r="480">
      <c r="B480" s="138"/>
      <c r="T480" s="31"/>
    </row>
    <row r="481">
      <c r="B481" s="138"/>
      <c r="T481" s="31"/>
    </row>
    <row r="482">
      <c r="B482" s="138"/>
      <c r="T482" s="31"/>
    </row>
    <row r="483">
      <c r="B483" s="138"/>
      <c r="T483" s="31"/>
    </row>
    <row r="484">
      <c r="B484" s="138"/>
      <c r="T484" s="31"/>
    </row>
    <row r="485">
      <c r="B485" s="138"/>
      <c r="T485" s="31"/>
    </row>
    <row r="486">
      <c r="B486" s="138"/>
      <c r="T486" s="31"/>
    </row>
    <row r="487">
      <c r="B487" s="138"/>
      <c r="T487" s="31"/>
    </row>
    <row r="488">
      <c r="B488" s="138"/>
      <c r="T488" s="31"/>
    </row>
    <row r="489">
      <c r="B489" s="138"/>
      <c r="T489" s="31"/>
    </row>
    <row r="490">
      <c r="B490" s="138"/>
      <c r="T490" s="31"/>
    </row>
    <row r="491">
      <c r="B491" s="138"/>
      <c r="T491" s="31"/>
    </row>
    <row r="492">
      <c r="B492" s="138"/>
      <c r="T492" s="31"/>
    </row>
    <row r="493">
      <c r="B493" s="138"/>
      <c r="T493" s="31"/>
    </row>
    <row r="494">
      <c r="B494" s="138"/>
      <c r="T494" s="31"/>
    </row>
    <row r="495">
      <c r="B495" s="138"/>
      <c r="T495" s="31"/>
    </row>
    <row r="496">
      <c r="B496" s="138"/>
      <c r="T496" s="31"/>
    </row>
    <row r="497">
      <c r="B497" s="138"/>
      <c r="T497" s="31"/>
    </row>
    <row r="498">
      <c r="B498" s="138"/>
      <c r="T498" s="31"/>
    </row>
    <row r="499">
      <c r="B499" s="138"/>
      <c r="T499" s="31"/>
    </row>
    <row r="500">
      <c r="B500" s="138"/>
      <c r="T500" s="31"/>
    </row>
    <row r="501">
      <c r="B501" s="138"/>
      <c r="T501" s="31"/>
    </row>
    <row r="502">
      <c r="B502" s="138"/>
      <c r="T502" s="31"/>
    </row>
    <row r="503">
      <c r="B503" s="138"/>
      <c r="T503" s="31"/>
    </row>
    <row r="504">
      <c r="B504" s="138"/>
      <c r="T504" s="31"/>
    </row>
    <row r="505">
      <c r="B505" s="138"/>
      <c r="T505" s="31"/>
    </row>
    <row r="506">
      <c r="B506" s="138"/>
      <c r="T506" s="31"/>
    </row>
    <row r="507">
      <c r="B507" s="138"/>
      <c r="T507" s="31"/>
    </row>
    <row r="508">
      <c r="B508" s="138"/>
      <c r="T508" s="31"/>
    </row>
    <row r="509">
      <c r="B509" s="138"/>
      <c r="T509" s="31"/>
    </row>
    <row r="510">
      <c r="B510" s="138"/>
      <c r="T510" s="31"/>
    </row>
    <row r="511">
      <c r="B511" s="138"/>
      <c r="T511" s="31"/>
    </row>
    <row r="512">
      <c r="B512" s="138"/>
      <c r="T512" s="31"/>
    </row>
    <row r="513">
      <c r="B513" s="138"/>
      <c r="T513" s="31"/>
    </row>
    <row r="514">
      <c r="B514" s="138"/>
      <c r="T514" s="31"/>
    </row>
    <row r="515">
      <c r="B515" s="138"/>
      <c r="T515" s="31"/>
    </row>
    <row r="516">
      <c r="B516" s="138"/>
      <c r="T516" s="31"/>
    </row>
    <row r="517">
      <c r="B517" s="138"/>
      <c r="T517" s="31"/>
    </row>
    <row r="518">
      <c r="B518" s="138"/>
      <c r="T518" s="31"/>
    </row>
    <row r="519">
      <c r="B519" s="138"/>
      <c r="T519" s="31"/>
    </row>
    <row r="520">
      <c r="B520" s="138"/>
      <c r="T520" s="31"/>
    </row>
    <row r="521">
      <c r="B521" s="138"/>
      <c r="T521" s="31"/>
    </row>
    <row r="522">
      <c r="B522" s="138"/>
      <c r="T522" s="31"/>
    </row>
    <row r="523">
      <c r="B523" s="138"/>
      <c r="T523" s="31"/>
    </row>
    <row r="524">
      <c r="B524" s="138"/>
      <c r="T524" s="31"/>
    </row>
    <row r="525">
      <c r="B525" s="138"/>
      <c r="T525" s="31"/>
    </row>
    <row r="526">
      <c r="B526" s="138"/>
      <c r="T526" s="31"/>
    </row>
    <row r="527">
      <c r="B527" s="138"/>
      <c r="T527" s="31"/>
    </row>
    <row r="528">
      <c r="B528" s="138"/>
      <c r="T528" s="31"/>
    </row>
    <row r="529">
      <c r="B529" s="138"/>
      <c r="T529" s="31"/>
    </row>
    <row r="530">
      <c r="B530" s="138"/>
      <c r="T530" s="31"/>
    </row>
    <row r="531">
      <c r="B531" s="138"/>
      <c r="T531" s="31"/>
    </row>
    <row r="532">
      <c r="B532" s="138"/>
      <c r="T532" s="31"/>
    </row>
    <row r="533">
      <c r="B533" s="138"/>
      <c r="T533" s="31"/>
    </row>
    <row r="534">
      <c r="B534" s="138"/>
      <c r="T534" s="31"/>
    </row>
    <row r="535">
      <c r="B535" s="138"/>
      <c r="T535" s="31"/>
    </row>
    <row r="536">
      <c r="B536" s="138"/>
      <c r="T536" s="31"/>
    </row>
    <row r="537">
      <c r="B537" s="138"/>
      <c r="T537" s="31"/>
    </row>
    <row r="538">
      <c r="B538" s="138"/>
      <c r="T538" s="31"/>
    </row>
    <row r="539">
      <c r="B539" s="138"/>
      <c r="T539" s="31"/>
    </row>
    <row r="540">
      <c r="B540" s="138"/>
      <c r="T540" s="31"/>
    </row>
    <row r="541">
      <c r="B541" s="138"/>
      <c r="T541" s="31"/>
    </row>
    <row r="542">
      <c r="B542" s="138"/>
      <c r="T542" s="31"/>
    </row>
    <row r="543">
      <c r="B543" s="138"/>
      <c r="T543" s="31"/>
    </row>
    <row r="544">
      <c r="B544" s="138"/>
      <c r="T544" s="31"/>
    </row>
    <row r="545">
      <c r="B545" s="138"/>
      <c r="T545" s="31"/>
    </row>
    <row r="546">
      <c r="B546" s="138"/>
      <c r="T546" s="31"/>
    </row>
    <row r="547">
      <c r="B547" s="138"/>
      <c r="T547" s="31"/>
    </row>
    <row r="548">
      <c r="B548" s="138"/>
      <c r="T548" s="31"/>
    </row>
    <row r="549">
      <c r="B549" s="138"/>
      <c r="T549" s="31"/>
    </row>
    <row r="550">
      <c r="B550" s="138"/>
      <c r="T550" s="31"/>
    </row>
    <row r="551">
      <c r="B551" s="138"/>
      <c r="T551" s="31"/>
    </row>
    <row r="552">
      <c r="B552" s="138"/>
      <c r="T552" s="31"/>
    </row>
    <row r="553">
      <c r="B553" s="138"/>
      <c r="T553" s="31"/>
    </row>
    <row r="554">
      <c r="B554" s="138"/>
      <c r="T554" s="31"/>
    </row>
    <row r="555">
      <c r="B555" s="138"/>
      <c r="T555" s="31"/>
    </row>
    <row r="556">
      <c r="B556" s="138"/>
      <c r="T556" s="31"/>
    </row>
    <row r="557">
      <c r="B557" s="138"/>
      <c r="T557" s="31"/>
    </row>
    <row r="558">
      <c r="B558" s="138"/>
      <c r="T558" s="31"/>
    </row>
    <row r="559">
      <c r="B559" s="138"/>
      <c r="T559" s="31"/>
    </row>
    <row r="560">
      <c r="B560" s="138"/>
      <c r="T560" s="31"/>
    </row>
    <row r="561">
      <c r="B561" s="138"/>
      <c r="T561" s="31"/>
    </row>
    <row r="562">
      <c r="B562" s="138"/>
      <c r="T562" s="31"/>
    </row>
    <row r="563">
      <c r="B563" s="138"/>
      <c r="T563" s="31"/>
    </row>
    <row r="564">
      <c r="B564" s="138"/>
      <c r="T564" s="31"/>
    </row>
    <row r="565">
      <c r="B565" s="138"/>
      <c r="T565" s="31"/>
    </row>
    <row r="566">
      <c r="B566" s="138"/>
      <c r="T566" s="31"/>
    </row>
    <row r="567">
      <c r="B567" s="138"/>
      <c r="T567" s="31"/>
    </row>
    <row r="568">
      <c r="B568" s="138"/>
      <c r="T568" s="31"/>
    </row>
    <row r="569">
      <c r="B569" s="138"/>
      <c r="T569" s="31"/>
    </row>
    <row r="570">
      <c r="B570" s="138"/>
      <c r="T570" s="31"/>
    </row>
    <row r="571">
      <c r="B571" s="138"/>
      <c r="T571" s="31"/>
    </row>
    <row r="572">
      <c r="B572" s="138"/>
      <c r="T572" s="31"/>
    </row>
    <row r="573">
      <c r="B573" s="138"/>
      <c r="T573" s="31"/>
    </row>
    <row r="574">
      <c r="B574" s="138"/>
      <c r="T574" s="31"/>
    </row>
    <row r="575">
      <c r="B575" s="138"/>
      <c r="T575" s="31"/>
    </row>
    <row r="576">
      <c r="B576" s="138"/>
      <c r="T576" s="31"/>
    </row>
    <row r="577">
      <c r="B577" s="138"/>
      <c r="T577" s="31"/>
    </row>
    <row r="578">
      <c r="B578" s="138"/>
      <c r="T578" s="31"/>
    </row>
    <row r="579">
      <c r="B579" s="138"/>
      <c r="T579" s="31"/>
    </row>
    <row r="580">
      <c r="B580" s="138"/>
      <c r="T580" s="31"/>
    </row>
    <row r="581">
      <c r="B581" s="138"/>
      <c r="T581" s="31"/>
    </row>
    <row r="582">
      <c r="B582" s="138"/>
      <c r="T582" s="31"/>
    </row>
    <row r="583">
      <c r="B583" s="138"/>
      <c r="T583" s="31"/>
    </row>
    <row r="584">
      <c r="B584" s="138"/>
      <c r="T584" s="31"/>
    </row>
    <row r="585">
      <c r="B585" s="138"/>
      <c r="T585" s="31"/>
    </row>
    <row r="586">
      <c r="B586" s="138"/>
      <c r="T586" s="31"/>
    </row>
    <row r="587">
      <c r="B587" s="138"/>
      <c r="T587" s="31"/>
    </row>
    <row r="588">
      <c r="B588" s="138"/>
      <c r="T588" s="31"/>
    </row>
    <row r="589">
      <c r="B589" s="138"/>
      <c r="T589" s="31"/>
    </row>
    <row r="590">
      <c r="B590" s="138"/>
      <c r="T590" s="31"/>
    </row>
    <row r="591">
      <c r="B591" s="138"/>
      <c r="T591" s="31"/>
    </row>
    <row r="592">
      <c r="B592" s="138"/>
      <c r="T592" s="31"/>
    </row>
    <row r="593">
      <c r="B593" s="138"/>
      <c r="T593" s="31"/>
    </row>
    <row r="594">
      <c r="B594" s="138"/>
      <c r="T594" s="31"/>
    </row>
    <row r="595">
      <c r="B595" s="138"/>
      <c r="T595" s="31"/>
    </row>
    <row r="596">
      <c r="B596" s="138"/>
      <c r="T596" s="31"/>
    </row>
    <row r="597">
      <c r="B597" s="138"/>
      <c r="T597" s="31"/>
    </row>
    <row r="598">
      <c r="B598" s="138"/>
      <c r="T598" s="31"/>
    </row>
    <row r="599">
      <c r="B599" s="138"/>
      <c r="T599" s="31"/>
    </row>
    <row r="600">
      <c r="B600" s="138"/>
      <c r="T600" s="31"/>
    </row>
    <row r="601">
      <c r="B601" s="138"/>
      <c r="T601" s="31"/>
    </row>
    <row r="602">
      <c r="B602" s="138"/>
      <c r="T602" s="31"/>
    </row>
    <row r="603">
      <c r="B603" s="138"/>
      <c r="T603" s="31"/>
    </row>
    <row r="604">
      <c r="B604" s="138"/>
      <c r="T604" s="31"/>
    </row>
    <row r="605">
      <c r="B605" s="138"/>
      <c r="T605" s="31"/>
    </row>
    <row r="606">
      <c r="B606" s="138"/>
      <c r="T606" s="31"/>
    </row>
    <row r="607">
      <c r="B607" s="138"/>
      <c r="T607" s="31"/>
    </row>
    <row r="608">
      <c r="B608" s="138"/>
      <c r="T608" s="31"/>
    </row>
    <row r="609">
      <c r="B609" s="138"/>
      <c r="T609" s="31"/>
    </row>
    <row r="610">
      <c r="B610" s="138"/>
      <c r="T610" s="31"/>
    </row>
    <row r="611">
      <c r="B611" s="138"/>
      <c r="T611" s="31"/>
    </row>
    <row r="612">
      <c r="B612" s="138"/>
      <c r="T612" s="31"/>
    </row>
    <row r="613">
      <c r="B613" s="138"/>
      <c r="T613" s="31"/>
    </row>
    <row r="614">
      <c r="B614" s="138"/>
      <c r="T614" s="31"/>
    </row>
    <row r="615">
      <c r="B615" s="138"/>
      <c r="T615" s="31"/>
    </row>
    <row r="616">
      <c r="B616" s="138"/>
      <c r="T616" s="31"/>
    </row>
    <row r="617">
      <c r="B617" s="138"/>
      <c r="T617" s="31"/>
    </row>
    <row r="618">
      <c r="B618" s="138"/>
      <c r="T618" s="31"/>
    </row>
    <row r="619">
      <c r="B619" s="138"/>
      <c r="T619" s="31"/>
    </row>
    <row r="620">
      <c r="B620" s="138"/>
      <c r="T620" s="31"/>
    </row>
    <row r="621">
      <c r="B621" s="138"/>
      <c r="T621" s="31"/>
    </row>
    <row r="622">
      <c r="B622" s="138"/>
      <c r="T622" s="31"/>
    </row>
    <row r="623">
      <c r="B623" s="138"/>
      <c r="T623" s="31"/>
    </row>
    <row r="624">
      <c r="B624" s="138"/>
      <c r="T624" s="31"/>
    </row>
    <row r="625">
      <c r="B625" s="138"/>
      <c r="T625" s="31"/>
    </row>
    <row r="626">
      <c r="B626" s="138"/>
      <c r="T626" s="31"/>
    </row>
    <row r="627">
      <c r="B627" s="138"/>
      <c r="T627" s="31"/>
    </row>
    <row r="628">
      <c r="B628" s="138"/>
      <c r="T628" s="31"/>
    </row>
    <row r="629">
      <c r="B629" s="138"/>
      <c r="T629" s="31"/>
    </row>
    <row r="630">
      <c r="B630" s="138"/>
      <c r="T630" s="31"/>
    </row>
    <row r="631">
      <c r="B631" s="138"/>
      <c r="T631" s="31"/>
    </row>
    <row r="632">
      <c r="B632" s="138"/>
      <c r="T632" s="31"/>
    </row>
    <row r="633">
      <c r="B633" s="138"/>
      <c r="T633" s="31"/>
    </row>
    <row r="634">
      <c r="B634" s="138"/>
      <c r="T634" s="31"/>
    </row>
    <row r="635">
      <c r="B635" s="138"/>
      <c r="T635" s="31"/>
    </row>
    <row r="636">
      <c r="B636" s="138"/>
      <c r="T636" s="31"/>
    </row>
    <row r="637">
      <c r="B637" s="138"/>
      <c r="T637" s="31"/>
    </row>
    <row r="638">
      <c r="B638" s="138"/>
      <c r="T638" s="31"/>
    </row>
    <row r="639">
      <c r="B639" s="138"/>
      <c r="T639" s="31"/>
    </row>
    <row r="640">
      <c r="B640" s="138"/>
      <c r="T640" s="31"/>
    </row>
    <row r="641">
      <c r="B641" s="138"/>
      <c r="T641" s="31"/>
    </row>
    <row r="642">
      <c r="B642" s="138"/>
      <c r="T642" s="31"/>
    </row>
    <row r="643">
      <c r="B643" s="138"/>
      <c r="T643" s="31"/>
    </row>
    <row r="644">
      <c r="B644" s="138"/>
      <c r="T644" s="31"/>
    </row>
    <row r="645">
      <c r="B645" s="138"/>
      <c r="T645" s="31"/>
    </row>
    <row r="646">
      <c r="B646" s="138"/>
      <c r="T646" s="31"/>
    </row>
    <row r="647">
      <c r="B647" s="138"/>
      <c r="T647" s="31"/>
    </row>
    <row r="648">
      <c r="B648" s="138"/>
      <c r="T648" s="31"/>
    </row>
    <row r="649">
      <c r="B649" s="138"/>
      <c r="T649" s="31"/>
    </row>
    <row r="650">
      <c r="B650" s="138"/>
      <c r="T650" s="31"/>
    </row>
    <row r="651">
      <c r="B651" s="138"/>
      <c r="T651" s="31"/>
    </row>
    <row r="652">
      <c r="B652" s="138"/>
      <c r="T652" s="31"/>
    </row>
    <row r="653">
      <c r="B653" s="138"/>
      <c r="T653" s="31"/>
    </row>
    <row r="654">
      <c r="B654" s="138"/>
      <c r="T654" s="31"/>
    </row>
    <row r="655">
      <c r="B655" s="138"/>
      <c r="T655" s="31"/>
    </row>
    <row r="656">
      <c r="B656" s="138"/>
      <c r="T656" s="31"/>
    </row>
    <row r="657">
      <c r="B657" s="138"/>
      <c r="T657" s="31"/>
    </row>
    <row r="658">
      <c r="B658" s="138"/>
      <c r="T658" s="31"/>
    </row>
    <row r="659">
      <c r="B659" s="138"/>
      <c r="T659" s="31"/>
    </row>
    <row r="660">
      <c r="B660" s="138"/>
      <c r="T660" s="31"/>
    </row>
    <row r="661">
      <c r="B661" s="138"/>
      <c r="T661" s="31"/>
    </row>
    <row r="662">
      <c r="B662" s="138"/>
      <c r="T662" s="31"/>
    </row>
    <row r="663">
      <c r="B663" s="138"/>
      <c r="T663" s="31"/>
    </row>
    <row r="664">
      <c r="B664" s="138"/>
      <c r="T664" s="31"/>
    </row>
    <row r="665">
      <c r="B665" s="138"/>
      <c r="T665" s="31"/>
    </row>
    <row r="666">
      <c r="B666" s="138"/>
      <c r="T666" s="31"/>
    </row>
    <row r="667">
      <c r="B667" s="138"/>
      <c r="T667" s="31"/>
    </row>
    <row r="668">
      <c r="B668" s="138"/>
      <c r="T668" s="31"/>
    </row>
    <row r="669">
      <c r="B669" s="138"/>
      <c r="T669" s="31"/>
    </row>
    <row r="670">
      <c r="B670" s="138"/>
      <c r="T670" s="31"/>
    </row>
    <row r="671">
      <c r="B671" s="138"/>
      <c r="T671" s="31"/>
    </row>
    <row r="672">
      <c r="B672" s="138"/>
      <c r="T672" s="31"/>
    </row>
    <row r="673">
      <c r="B673" s="138"/>
      <c r="T673" s="31"/>
    </row>
    <row r="674">
      <c r="B674" s="138"/>
      <c r="T674" s="31"/>
    </row>
    <row r="675">
      <c r="B675" s="138"/>
      <c r="T675" s="31"/>
    </row>
    <row r="676">
      <c r="B676" s="138"/>
      <c r="T676" s="31"/>
    </row>
    <row r="677">
      <c r="B677" s="138"/>
      <c r="T677" s="31"/>
    </row>
    <row r="678">
      <c r="B678" s="138"/>
      <c r="T678" s="31"/>
    </row>
    <row r="679">
      <c r="B679" s="138"/>
      <c r="T679" s="31"/>
    </row>
    <row r="680">
      <c r="B680" s="138"/>
      <c r="T680" s="31"/>
    </row>
    <row r="681">
      <c r="B681" s="138"/>
      <c r="T681" s="31"/>
    </row>
    <row r="682">
      <c r="B682" s="138"/>
      <c r="T682" s="31"/>
    </row>
    <row r="683">
      <c r="B683" s="138"/>
      <c r="T683" s="31"/>
    </row>
    <row r="684">
      <c r="B684" s="138"/>
      <c r="T684" s="31"/>
    </row>
    <row r="685">
      <c r="B685" s="138"/>
      <c r="T685" s="31"/>
    </row>
    <row r="686">
      <c r="B686" s="138"/>
      <c r="T686" s="31"/>
    </row>
    <row r="687">
      <c r="B687" s="138"/>
      <c r="T687" s="31"/>
    </row>
    <row r="688">
      <c r="B688" s="138"/>
      <c r="T688" s="31"/>
    </row>
    <row r="689">
      <c r="B689" s="138"/>
      <c r="T689" s="31"/>
    </row>
    <row r="690">
      <c r="B690" s="138"/>
      <c r="T690" s="31"/>
    </row>
    <row r="691">
      <c r="B691" s="138"/>
      <c r="T691" s="31"/>
    </row>
    <row r="692">
      <c r="B692" s="138"/>
      <c r="T692" s="31"/>
    </row>
    <row r="693">
      <c r="B693" s="138"/>
      <c r="T693" s="31"/>
    </row>
    <row r="694">
      <c r="B694" s="138"/>
      <c r="T694" s="31"/>
    </row>
    <row r="695">
      <c r="B695" s="138"/>
      <c r="T695" s="31"/>
    </row>
    <row r="696">
      <c r="B696" s="138"/>
      <c r="T696" s="31"/>
    </row>
    <row r="697">
      <c r="B697" s="138"/>
      <c r="T697" s="31"/>
    </row>
    <row r="698">
      <c r="B698" s="138"/>
      <c r="T698" s="31"/>
    </row>
    <row r="699">
      <c r="B699" s="138"/>
      <c r="T699" s="31"/>
    </row>
    <row r="700">
      <c r="B700" s="138"/>
      <c r="T700" s="31"/>
    </row>
    <row r="701">
      <c r="B701" s="138"/>
      <c r="T701" s="31"/>
    </row>
    <row r="702">
      <c r="B702" s="138"/>
      <c r="T702" s="31"/>
    </row>
    <row r="703">
      <c r="B703" s="138"/>
      <c r="T703" s="31"/>
    </row>
    <row r="704">
      <c r="B704" s="138"/>
      <c r="T704" s="31"/>
    </row>
    <row r="705">
      <c r="B705" s="138"/>
      <c r="T705" s="31"/>
    </row>
    <row r="706">
      <c r="B706" s="138"/>
      <c r="T706" s="31"/>
    </row>
    <row r="707">
      <c r="B707" s="138"/>
      <c r="T707" s="31"/>
    </row>
    <row r="708">
      <c r="B708" s="138"/>
      <c r="T708" s="31"/>
    </row>
    <row r="709">
      <c r="B709" s="138"/>
      <c r="T709" s="31"/>
    </row>
    <row r="710">
      <c r="B710" s="138"/>
      <c r="T710" s="31"/>
    </row>
    <row r="711">
      <c r="B711" s="138"/>
      <c r="T711" s="31"/>
    </row>
    <row r="712">
      <c r="B712" s="138"/>
      <c r="T712" s="31"/>
    </row>
    <row r="713">
      <c r="B713" s="138"/>
      <c r="T713" s="31"/>
    </row>
    <row r="714">
      <c r="B714" s="138"/>
      <c r="T714" s="31"/>
    </row>
    <row r="715">
      <c r="B715" s="138"/>
      <c r="T715" s="31"/>
    </row>
    <row r="716">
      <c r="B716" s="138"/>
      <c r="T716" s="31"/>
    </row>
    <row r="717">
      <c r="B717" s="138"/>
      <c r="T717" s="31"/>
    </row>
    <row r="718">
      <c r="B718" s="138"/>
      <c r="T718" s="31"/>
    </row>
    <row r="719">
      <c r="B719" s="138"/>
      <c r="T719" s="31"/>
    </row>
    <row r="720">
      <c r="B720" s="138"/>
      <c r="T720" s="31"/>
    </row>
    <row r="721">
      <c r="B721" s="138"/>
      <c r="T721" s="31"/>
    </row>
    <row r="722">
      <c r="B722" s="138"/>
      <c r="T722" s="31"/>
    </row>
    <row r="723">
      <c r="B723" s="138"/>
      <c r="T723" s="31"/>
    </row>
    <row r="724">
      <c r="B724" s="138"/>
      <c r="T724" s="31"/>
    </row>
    <row r="725">
      <c r="B725" s="138"/>
      <c r="T725" s="31"/>
    </row>
    <row r="726">
      <c r="B726" s="138"/>
      <c r="T726" s="31"/>
    </row>
    <row r="727">
      <c r="B727" s="138"/>
      <c r="T727" s="31"/>
    </row>
    <row r="728">
      <c r="B728" s="138"/>
      <c r="T728" s="31"/>
    </row>
    <row r="729">
      <c r="B729" s="138"/>
      <c r="T729" s="31"/>
    </row>
    <row r="730">
      <c r="B730" s="138"/>
      <c r="T730" s="31"/>
    </row>
    <row r="731">
      <c r="B731" s="138"/>
      <c r="T731" s="31"/>
    </row>
    <row r="732">
      <c r="B732" s="138"/>
      <c r="T732" s="31"/>
    </row>
    <row r="733">
      <c r="B733" s="138"/>
      <c r="T733" s="31"/>
    </row>
    <row r="734">
      <c r="B734" s="138"/>
      <c r="T734" s="31"/>
    </row>
    <row r="735">
      <c r="B735" s="138"/>
      <c r="T735" s="31"/>
    </row>
    <row r="736">
      <c r="B736" s="138"/>
      <c r="T736" s="31"/>
    </row>
    <row r="737">
      <c r="B737" s="138"/>
      <c r="T737" s="31"/>
    </row>
    <row r="738">
      <c r="B738" s="138"/>
      <c r="T738" s="31"/>
    </row>
    <row r="739">
      <c r="B739" s="138"/>
      <c r="T739" s="31"/>
    </row>
    <row r="740">
      <c r="B740" s="138"/>
      <c r="T740" s="31"/>
    </row>
    <row r="741">
      <c r="B741" s="138"/>
      <c r="T741" s="31"/>
    </row>
    <row r="742">
      <c r="B742" s="138"/>
      <c r="T742" s="31"/>
    </row>
    <row r="743">
      <c r="B743" s="138"/>
      <c r="T743" s="31"/>
    </row>
    <row r="744">
      <c r="B744" s="138"/>
      <c r="T744" s="31"/>
    </row>
    <row r="745">
      <c r="B745" s="138"/>
      <c r="T745" s="31"/>
    </row>
    <row r="746">
      <c r="B746" s="138"/>
      <c r="T746" s="31"/>
    </row>
    <row r="747">
      <c r="B747" s="138"/>
      <c r="T747" s="31"/>
    </row>
    <row r="748">
      <c r="B748" s="138"/>
      <c r="T748" s="31"/>
    </row>
    <row r="749">
      <c r="B749" s="138"/>
      <c r="T749" s="31"/>
    </row>
    <row r="750">
      <c r="B750" s="138"/>
      <c r="T750" s="31"/>
    </row>
    <row r="751">
      <c r="B751" s="138"/>
      <c r="T751" s="31"/>
    </row>
    <row r="752">
      <c r="B752" s="138"/>
      <c r="T752" s="31"/>
    </row>
    <row r="753">
      <c r="B753" s="138"/>
      <c r="T753" s="31"/>
    </row>
    <row r="754">
      <c r="B754" s="138"/>
      <c r="T754" s="31"/>
    </row>
    <row r="755">
      <c r="B755" s="138"/>
      <c r="T755" s="31"/>
    </row>
    <row r="756">
      <c r="B756" s="138"/>
      <c r="T756" s="31"/>
    </row>
    <row r="757">
      <c r="B757" s="138"/>
      <c r="T757" s="31"/>
    </row>
    <row r="758">
      <c r="B758" s="138"/>
      <c r="T758" s="31"/>
    </row>
    <row r="759">
      <c r="B759" s="138"/>
      <c r="T759" s="31"/>
    </row>
    <row r="760">
      <c r="B760" s="138"/>
      <c r="T760" s="31"/>
    </row>
    <row r="761">
      <c r="B761" s="138"/>
      <c r="T761" s="31"/>
    </row>
    <row r="762">
      <c r="B762" s="138"/>
      <c r="T762" s="31"/>
    </row>
    <row r="763">
      <c r="B763" s="138"/>
      <c r="T763" s="31"/>
    </row>
    <row r="764">
      <c r="B764" s="138"/>
      <c r="T764" s="31"/>
    </row>
    <row r="765">
      <c r="B765" s="138"/>
      <c r="T765" s="31"/>
    </row>
    <row r="766">
      <c r="B766" s="138"/>
      <c r="T766" s="31"/>
    </row>
    <row r="767">
      <c r="B767" s="138"/>
      <c r="T767" s="31"/>
    </row>
    <row r="768">
      <c r="B768" s="138"/>
      <c r="T768" s="31"/>
    </row>
    <row r="769">
      <c r="B769" s="138"/>
      <c r="T769" s="31"/>
    </row>
    <row r="770">
      <c r="B770" s="138"/>
      <c r="T770" s="31"/>
    </row>
    <row r="771">
      <c r="B771" s="138"/>
      <c r="T771" s="31"/>
    </row>
    <row r="772">
      <c r="B772" s="138"/>
      <c r="T772" s="31"/>
    </row>
    <row r="773">
      <c r="B773" s="138"/>
      <c r="T773" s="31"/>
    </row>
    <row r="774">
      <c r="B774" s="138"/>
      <c r="T774" s="31"/>
    </row>
    <row r="775">
      <c r="B775" s="138"/>
      <c r="T775" s="31"/>
    </row>
    <row r="776">
      <c r="B776" s="138"/>
      <c r="T776" s="31"/>
    </row>
    <row r="777">
      <c r="B777" s="138"/>
      <c r="T777" s="31"/>
    </row>
    <row r="778">
      <c r="B778" s="138"/>
      <c r="T778" s="31"/>
    </row>
    <row r="779">
      <c r="B779" s="138"/>
      <c r="T779" s="31"/>
    </row>
    <row r="780">
      <c r="B780" s="138"/>
      <c r="T780" s="31"/>
    </row>
    <row r="781">
      <c r="B781" s="138"/>
      <c r="T781" s="31"/>
    </row>
    <row r="782">
      <c r="B782" s="138"/>
      <c r="T782" s="31"/>
    </row>
    <row r="783">
      <c r="B783" s="138"/>
      <c r="T783" s="31"/>
    </row>
    <row r="784">
      <c r="B784" s="138"/>
      <c r="T784" s="31"/>
    </row>
    <row r="785">
      <c r="B785" s="138"/>
      <c r="T785" s="31"/>
    </row>
    <row r="786">
      <c r="B786" s="138"/>
      <c r="T786" s="31"/>
    </row>
    <row r="787">
      <c r="B787" s="138"/>
      <c r="T787" s="31"/>
    </row>
    <row r="788">
      <c r="B788" s="138"/>
      <c r="T788" s="31"/>
    </row>
    <row r="789">
      <c r="B789" s="138"/>
      <c r="T789" s="31"/>
    </row>
    <row r="790">
      <c r="B790" s="138"/>
      <c r="T790" s="31"/>
    </row>
    <row r="791">
      <c r="B791" s="138"/>
      <c r="T791" s="31"/>
    </row>
    <row r="792">
      <c r="B792" s="138"/>
      <c r="T792" s="31"/>
    </row>
    <row r="793">
      <c r="B793" s="138"/>
      <c r="T793" s="31"/>
    </row>
    <row r="794">
      <c r="B794" s="138"/>
      <c r="T794" s="31"/>
    </row>
    <row r="795">
      <c r="B795" s="138"/>
      <c r="T795" s="31"/>
    </row>
    <row r="796">
      <c r="B796" s="138"/>
      <c r="T796" s="31"/>
    </row>
    <row r="797">
      <c r="B797" s="138"/>
      <c r="T797" s="31"/>
    </row>
    <row r="798">
      <c r="B798" s="138"/>
      <c r="T798" s="31"/>
    </row>
    <row r="799">
      <c r="B799" s="138"/>
      <c r="T799" s="31"/>
    </row>
    <row r="800">
      <c r="B800" s="138"/>
      <c r="T800" s="31"/>
    </row>
    <row r="801">
      <c r="B801" s="138"/>
      <c r="T801" s="31"/>
    </row>
    <row r="802">
      <c r="B802" s="138"/>
      <c r="T802" s="31"/>
    </row>
    <row r="803">
      <c r="B803" s="138"/>
      <c r="T803" s="31"/>
    </row>
    <row r="804">
      <c r="B804" s="138"/>
      <c r="T804" s="31"/>
    </row>
    <row r="805">
      <c r="B805" s="138"/>
      <c r="T805" s="31"/>
    </row>
    <row r="806">
      <c r="B806" s="138"/>
      <c r="T806" s="31"/>
    </row>
    <row r="807">
      <c r="B807" s="138"/>
      <c r="T807" s="31"/>
    </row>
    <row r="808">
      <c r="B808" s="138"/>
      <c r="T808" s="31"/>
    </row>
    <row r="809">
      <c r="B809" s="138"/>
      <c r="T809" s="31"/>
    </row>
    <row r="810">
      <c r="B810" s="138"/>
      <c r="T810" s="31"/>
    </row>
    <row r="811">
      <c r="B811" s="138"/>
      <c r="T811" s="31"/>
    </row>
    <row r="812">
      <c r="B812" s="138"/>
      <c r="T812" s="31"/>
    </row>
    <row r="813">
      <c r="B813" s="138"/>
      <c r="T813" s="31"/>
    </row>
    <row r="814">
      <c r="B814" s="138"/>
      <c r="T814" s="31"/>
    </row>
    <row r="815">
      <c r="B815" s="138"/>
      <c r="T815" s="31"/>
    </row>
    <row r="816">
      <c r="B816" s="138"/>
      <c r="T816" s="31"/>
    </row>
    <row r="817">
      <c r="B817" s="138"/>
      <c r="T817" s="31"/>
    </row>
    <row r="818">
      <c r="B818" s="138"/>
      <c r="T818" s="31"/>
    </row>
    <row r="819">
      <c r="B819" s="138"/>
      <c r="T819" s="31"/>
    </row>
    <row r="820">
      <c r="B820" s="138"/>
      <c r="T820" s="31"/>
    </row>
    <row r="821">
      <c r="B821" s="138"/>
      <c r="T821" s="31"/>
    </row>
    <row r="822">
      <c r="B822" s="138"/>
      <c r="T822" s="31"/>
    </row>
    <row r="823">
      <c r="B823" s="138"/>
      <c r="T823" s="31"/>
    </row>
    <row r="824">
      <c r="B824" s="138"/>
      <c r="T824" s="31"/>
    </row>
    <row r="825">
      <c r="B825" s="138"/>
      <c r="T825" s="31"/>
    </row>
    <row r="826">
      <c r="B826" s="138"/>
      <c r="T826" s="31"/>
    </row>
    <row r="827">
      <c r="B827" s="138"/>
      <c r="T827" s="31"/>
    </row>
    <row r="828">
      <c r="B828" s="138"/>
      <c r="T828" s="31"/>
    </row>
    <row r="829">
      <c r="B829" s="138"/>
      <c r="T829" s="31"/>
    </row>
    <row r="830">
      <c r="B830" s="138"/>
      <c r="T830" s="31"/>
    </row>
    <row r="831">
      <c r="B831" s="138"/>
      <c r="T831" s="31"/>
    </row>
    <row r="832">
      <c r="B832" s="138"/>
      <c r="T832" s="31"/>
    </row>
    <row r="833">
      <c r="B833" s="138"/>
      <c r="T833" s="31"/>
    </row>
    <row r="834">
      <c r="B834" s="138"/>
      <c r="T834" s="31"/>
    </row>
    <row r="835">
      <c r="B835" s="138"/>
      <c r="T835" s="31"/>
    </row>
    <row r="836">
      <c r="B836" s="138"/>
      <c r="T836" s="31"/>
    </row>
    <row r="837">
      <c r="B837" s="138"/>
      <c r="T837" s="31"/>
    </row>
    <row r="838">
      <c r="B838" s="138"/>
      <c r="T838" s="31"/>
    </row>
    <row r="839">
      <c r="B839" s="138"/>
      <c r="T839" s="31"/>
    </row>
    <row r="840">
      <c r="B840" s="138"/>
      <c r="T840" s="31"/>
    </row>
    <row r="841">
      <c r="B841" s="138"/>
      <c r="T841" s="31"/>
    </row>
    <row r="842">
      <c r="B842" s="138"/>
      <c r="T842" s="31"/>
    </row>
    <row r="843">
      <c r="B843" s="138"/>
      <c r="T843" s="31"/>
    </row>
    <row r="844">
      <c r="B844" s="138"/>
      <c r="T844" s="31"/>
    </row>
    <row r="845">
      <c r="B845" s="138"/>
      <c r="T845" s="31"/>
    </row>
    <row r="846">
      <c r="B846" s="138"/>
      <c r="T846" s="31"/>
    </row>
    <row r="847">
      <c r="B847" s="138"/>
      <c r="T847" s="31"/>
    </row>
    <row r="848">
      <c r="B848" s="138"/>
      <c r="T848" s="31"/>
    </row>
    <row r="849">
      <c r="B849" s="138"/>
      <c r="T849" s="31"/>
    </row>
    <row r="850">
      <c r="B850" s="138"/>
      <c r="T850" s="31"/>
    </row>
    <row r="851">
      <c r="B851" s="138"/>
      <c r="T851" s="31"/>
    </row>
    <row r="852">
      <c r="B852" s="138"/>
      <c r="T852" s="31"/>
    </row>
    <row r="853">
      <c r="B853" s="138"/>
      <c r="T853" s="31"/>
    </row>
    <row r="854">
      <c r="B854" s="138"/>
      <c r="T854" s="31"/>
    </row>
    <row r="855">
      <c r="B855" s="138"/>
      <c r="T855" s="31"/>
    </row>
    <row r="856">
      <c r="B856" s="138"/>
      <c r="T856" s="31"/>
    </row>
    <row r="857">
      <c r="B857" s="138"/>
      <c r="T857" s="31"/>
    </row>
    <row r="858">
      <c r="B858" s="138"/>
      <c r="T858" s="31"/>
    </row>
    <row r="859">
      <c r="B859" s="138"/>
      <c r="T859" s="31"/>
    </row>
    <row r="860">
      <c r="B860" s="138"/>
      <c r="T860" s="31"/>
    </row>
    <row r="861">
      <c r="B861" s="138"/>
      <c r="T861" s="31"/>
    </row>
    <row r="862">
      <c r="B862" s="138"/>
      <c r="T862" s="31"/>
    </row>
    <row r="863">
      <c r="B863" s="138"/>
      <c r="T863" s="31"/>
    </row>
    <row r="864">
      <c r="B864" s="138"/>
      <c r="T864" s="31"/>
    </row>
    <row r="865">
      <c r="B865" s="138"/>
      <c r="T865" s="31"/>
    </row>
    <row r="866">
      <c r="B866" s="138"/>
      <c r="T866" s="31"/>
    </row>
    <row r="867">
      <c r="B867" s="138"/>
      <c r="T867" s="31"/>
    </row>
    <row r="868">
      <c r="B868" s="138"/>
      <c r="T868" s="31"/>
    </row>
    <row r="869">
      <c r="B869" s="138"/>
      <c r="T869" s="31"/>
    </row>
    <row r="870">
      <c r="B870" s="138"/>
      <c r="T870" s="31"/>
    </row>
    <row r="871">
      <c r="B871" s="138"/>
      <c r="T871" s="31"/>
    </row>
    <row r="872">
      <c r="B872" s="138"/>
      <c r="T872" s="31"/>
    </row>
    <row r="873">
      <c r="B873" s="138"/>
      <c r="T873" s="31"/>
    </row>
    <row r="874">
      <c r="B874" s="138"/>
      <c r="T874" s="31"/>
    </row>
    <row r="875">
      <c r="B875" s="138"/>
      <c r="T875" s="31"/>
    </row>
    <row r="876">
      <c r="B876" s="138"/>
      <c r="T876" s="31"/>
    </row>
    <row r="877">
      <c r="B877" s="138"/>
      <c r="T877" s="31"/>
    </row>
    <row r="878">
      <c r="B878" s="138"/>
      <c r="T878" s="31"/>
    </row>
    <row r="879">
      <c r="B879" s="138"/>
      <c r="T879" s="31"/>
    </row>
    <row r="880">
      <c r="B880" s="138"/>
      <c r="T880" s="31"/>
    </row>
    <row r="881">
      <c r="B881" s="138"/>
      <c r="T881" s="31"/>
    </row>
    <row r="882">
      <c r="B882" s="138"/>
      <c r="T882" s="31"/>
    </row>
    <row r="883">
      <c r="B883" s="138"/>
      <c r="T883" s="31"/>
    </row>
    <row r="884">
      <c r="B884" s="138"/>
      <c r="T884" s="31"/>
    </row>
    <row r="885">
      <c r="B885" s="138"/>
      <c r="T885" s="31"/>
    </row>
    <row r="886">
      <c r="B886" s="138"/>
      <c r="T886" s="31"/>
    </row>
    <row r="887">
      <c r="B887" s="138"/>
      <c r="T887" s="31"/>
    </row>
    <row r="888">
      <c r="B888" s="138"/>
      <c r="T888" s="31"/>
    </row>
    <row r="889">
      <c r="B889" s="138"/>
      <c r="T889" s="31"/>
    </row>
    <row r="890">
      <c r="B890" s="138"/>
      <c r="T890" s="31"/>
    </row>
    <row r="891">
      <c r="B891" s="138"/>
      <c r="T891" s="31"/>
    </row>
    <row r="892">
      <c r="B892" s="138"/>
      <c r="T892" s="31"/>
    </row>
    <row r="893">
      <c r="B893" s="138"/>
      <c r="T893" s="31"/>
    </row>
    <row r="894">
      <c r="B894" s="138"/>
      <c r="T894" s="31"/>
    </row>
    <row r="895">
      <c r="B895" s="138"/>
      <c r="T895" s="31"/>
    </row>
    <row r="896">
      <c r="B896" s="138"/>
      <c r="T896" s="31"/>
    </row>
    <row r="897">
      <c r="B897" s="138"/>
      <c r="T897" s="31"/>
    </row>
    <row r="898">
      <c r="B898" s="138"/>
      <c r="T898" s="31"/>
    </row>
    <row r="899">
      <c r="B899" s="138"/>
      <c r="T899" s="31"/>
    </row>
    <row r="900">
      <c r="B900" s="138"/>
      <c r="T900" s="31"/>
    </row>
    <row r="901">
      <c r="B901" s="138"/>
      <c r="T901" s="31"/>
    </row>
    <row r="902">
      <c r="B902" s="138"/>
      <c r="T902" s="31"/>
    </row>
    <row r="903">
      <c r="B903" s="138"/>
      <c r="T903" s="31"/>
    </row>
    <row r="904">
      <c r="B904" s="138"/>
      <c r="T904" s="31"/>
    </row>
    <row r="905">
      <c r="B905" s="138"/>
      <c r="T905" s="31"/>
    </row>
    <row r="906">
      <c r="B906" s="138"/>
      <c r="T906" s="31"/>
    </row>
    <row r="907">
      <c r="B907" s="138"/>
      <c r="T907" s="31"/>
    </row>
    <row r="908">
      <c r="B908" s="138"/>
      <c r="T908" s="31"/>
    </row>
    <row r="909">
      <c r="B909" s="138"/>
      <c r="T909" s="31"/>
    </row>
    <row r="910">
      <c r="B910" s="138"/>
      <c r="T910" s="31"/>
    </row>
    <row r="911">
      <c r="B911" s="138"/>
      <c r="T911" s="31"/>
    </row>
    <row r="912">
      <c r="B912" s="138"/>
      <c r="T912" s="31"/>
    </row>
    <row r="913">
      <c r="B913" s="138"/>
      <c r="T913" s="31"/>
    </row>
    <row r="914">
      <c r="B914" s="138"/>
      <c r="T914" s="31"/>
    </row>
    <row r="915">
      <c r="B915" s="138"/>
      <c r="T915" s="31"/>
    </row>
    <row r="916">
      <c r="B916" s="138"/>
      <c r="T916" s="31"/>
    </row>
    <row r="917">
      <c r="B917" s="138"/>
      <c r="T917" s="31"/>
    </row>
    <row r="918">
      <c r="B918" s="138"/>
      <c r="T918" s="31"/>
    </row>
    <row r="919">
      <c r="B919" s="138"/>
      <c r="T919" s="31"/>
    </row>
    <row r="920">
      <c r="B920" s="138"/>
      <c r="T920" s="31"/>
    </row>
    <row r="921">
      <c r="B921" s="138"/>
      <c r="T921" s="31"/>
    </row>
    <row r="922">
      <c r="B922" s="138"/>
      <c r="T922" s="31"/>
    </row>
    <row r="923">
      <c r="B923" s="138"/>
      <c r="T923" s="31"/>
    </row>
    <row r="924">
      <c r="B924" s="138"/>
      <c r="T924" s="31"/>
    </row>
    <row r="925">
      <c r="B925" s="138"/>
      <c r="T925" s="31"/>
    </row>
    <row r="926">
      <c r="B926" s="138"/>
      <c r="T926" s="31"/>
    </row>
    <row r="927">
      <c r="B927" s="138"/>
      <c r="T927" s="31"/>
    </row>
    <row r="928">
      <c r="B928" s="138"/>
      <c r="T928" s="31"/>
    </row>
    <row r="929">
      <c r="B929" s="138"/>
      <c r="T929" s="31"/>
    </row>
    <row r="930">
      <c r="B930" s="138"/>
      <c r="T930" s="31"/>
    </row>
    <row r="931">
      <c r="B931" s="138"/>
      <c r="T931" s="31"/>
    </row>
    <row r="932">
      <c r="B932" s="138"/>
      <c r="T932" s="31"/>
    </row>
    <row r="933">
      <c r="B933" s="138"/>
      <c r="T933" s="31"/>
    </row>
    <row r="934">
      <c r="B934" s="138"/>
      <c r="T934" s="31"/>
    </row>
    <row r="935">
      <c r="B935" s="138"/>
      <c r="T935" s="31"/>
    </row>
    <row r="936">
      <c r="B936" s="138"/>
      <c r="T936" s="31"/>
    </row>
    <row r="937">
      <c r="B937" s="138"/>
      <c r="T937" s="31"/>
    </row>
    <row r="938">
      <c r="B938" s="138"/>
      <c r="T938" s="31"/>
    </row>
    <row r="939">
      <c r="B939" s="138"/>
      <c r="T939" s="31"/>
    </row>
    <row r="940">
      <c r="B940" s="138"/>
      <c r="T940" s="31"/>
    </row>
    <row r="941">
      <c r="B941" s="138"/>
      <c r="T941" s="31"/>
    </row>
    <row r="942">
      <c r="B942" s="138"/>
      <c r="T942" s="31"/>
    </row>
    <row r="943">
      <c r="B943" s="138"/>
      <c r="T943" s="31"/>
    </row>
    <row r="944">
      <c r="B944" s="138"/>
      <c r="T944" s="31"/>
    </row>
    <row r="945">
      <c r="B945" s="138"/>
      <c r="T945" s="31"/>
    </row>
  </sheetData>
  <mergeCells count="16">
    <mergeCell ref="H3:I3"/>
    <mergeCell ref="J3:K3"/>
    <mergeCell ref="L3:M3"/>
    <mergeCell ref="N3:O3"/>
    <mergeCell ref="P3:Q3"/>
    <mergeCell ref="R3:S3"/>
    <mergeCell ref="T3:U3"/>
    <mergeCell ref="V3:X3"/>
    <mergeCell ref="B2:G2"/>
    <mergeCell ref="H2:M2"/>
    <mergeCell ref="N2:S2"/>
    <mergeCell ref="T2:Z2"/>
    <mergeCell ref="B3:C3"/>
    <mergeCell ref="D3:E3"/>
    <mergeCell ref="F3:G3"/>
    <mergeCell ref="Y3:Z3"/>
  </mergeCells>
  <dataValidations>
    <dataValidation type="list" allowBlank="1" showErrorMessage="1" sqref="B24:Z24 B32:Z32">
      <formula1>"0%,100%"</formula1>
    </dataValidation>
  </dataValidation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36.88"/>
    <col customWidth="1" hidden="1" min="2" max="2" width="14.75"/>
    <col hidden="1" min="3" max="4" width="12.63"/>
    <col customWidth="1" hidden="1" min="5" max="5" width="14.0"/>
    <col hidden="1" min="6" max="13" width="12.63"/>
  </cols>
  <sheetData>
    <row r="1" ht="28.5" customHeight="1">
      <c r="A1" s="1" t="s">
        <v>1677</v>
      </c>
      <c r="B1" s="2"/>
      <c r="C1" s="3"/>
      <c r="D1" s="3"/>
      <c r="E1" s="3"/>
      <c r="F1" s="3"/>
      <c r="G1" s="3"/>
      <c r="H1" s="975"/>
      <c r="I1" s="975"/>
      <c r="J1" s="3"/>
      <c r="K1" s="3"/>
      <c r="L1" s="3"/>
      <c r="M1" s="3"/>
      <c r="N1" s="3"/>
      <c r="O1" s="3"/>
      <c r="P1" s="4"/>
      <c r="Q1" s="4"/>
      <c r="R1" s="4"/>
      <c r="S1" s="5"/>
      <c r="T1" s="4"/>
      <c r="U1" s="4"/>
      <c r="V1" s="4"/>
      <c r="W1" s="4"/>
      <c r="X1" s="4"/>
      <c r="Y1" s="4"/>
      <c r="Z1" s="4"/>
      <c r="AA1" s="4"/>
      <c r="AB1" s="4"/>
      <c r="AC1" s="4"/>
      <c r="AD1" s="4"/>
      <c r="AE1" s="4"/>
      <c r="AF1" s="4"/>
      <c r="AG1" s="4"/>
      <c r="AH1" s="4"/>
      <c r="AI1" s="4"/>
      <c r="AJ1" s="4"/>
      <c r="AK1" s="4"/>
      <c r="AL1" s="4"/>
      <c r="AM1" s="4"/>
      <c r="AN1" s="4"/>
      <c r="AO1" s="4"/>
    </row>
    <row r="2">
      <c r="A2" s="6" t="s">
        <v>1</v>
      </c>
      <c r="B2" s="976" t="s">
        <v>2</v>
      </c>
      <c r="C2" s="8"/>
      <c r="D2" s="8"/>
      <c r="E2" s="8"/>
      <c r="F2" s="8"/>
      <c r="G2" s="977"/>
      <c r="H2" s="978" t="s">
        <v>3</v>
      </c>
      <c r="I2" s="8"/>
      <c r="J2" s="8"/>
      <c r="K2" s="8"/>
      <c r="L2" s="8"/>
      <c r="M2" s="977"/>
      <c r="N2" s="11" t="s">
        <v>4</v>
      </c>
      <c r="O2" s="8"/>
      <c r="P2" s="8"/>
      <c r="Q2" s="8"/>
      <c r="R2" s="8"/>
      <c r="S2" s="9"/>
      <c r="T2" s="979"/>
      <c r="U2" s="11" t="s">
        <v>5</v>
      </c>
      <c r="V2" s="8"/>
      <c r="W2" s="8"/>
      <c r="X2" s="8"/>
      <c r="Y2" s="8"/>
      <c r="Z2" s="8"/>
      <c r="AA2" s="9"/>
      <c r="AB2" s="206"/>
      <c r="AC2" s="206"/>
      <c r="AD2" s="206"/>
      <c r="AE2" s="206"/>
      <c r="AF2" s="206"/>
      <c r="AG2" s="206"/>
      <c r="AH2" s="206"/>
      <c r="AI2" s="206"/>
      <c r="AJ2" s="206"/>
      <c r="AK2" s="206"/>
      <c r="AL2" s="206"/>
      <c r="AM2" s="206"/>
      <c r="AN2" s="206"/>
      <c r="AO2" s="206"/>
    </row>
    <row r="3">
      <c r="A3" s="6" t="s">
        <v>6</v>
      </c>
      <c r="B3" s="980" t="s">
        <v>7</v>
      </c>
      <c r="C3" s="14"/>
      <c r="D3" s="15" t="s">
        <v>8</v>
      </c>
      <c r="E3" s="9"/>
      <c r="F3" s="10" t="s">
        <v>9</v>
      </c>
      <c r="G3" s="977"/>
      <c r="H3" s="981" t="s">
        <v>10</v>
      </c>
      <c r="I3" s="156"/>
      <c r="J3" s="982" t="s">
        <v>11</v>
      </c>
      <c r="K3" s="156"/>
      <c r="L3" s="16" t="s">
        <v>12</v>
      </c>
      <c r="M3" s="977"/>
      <c r="N3" s="11" t="s">
        <v>13</v>
      </c>
      <c r="O3" s="8"/>
      <c r="P3" s="9"/>
      <c r="Q3" s="15" t="s">
        <v>14</v>
      </c>
      <c r="R3" s="8"/>
      <c r="S3" s="10" t="s">
        <v>15</v>
      </c>
      <c r="T3" s="8"/>
      <c r="U3" s="16" t="s">
        <v>16</v>
      </c>
      <c r="V3" s="9"/>
      <c r="W3" s="10" t="s">
        <v>17</v>
      </c>
      <c r="X3" s="8"/>
      <c r="Y3" s="9"/>
      <c r="Z3" s="16" t="s">
        <v>18</v>
      </c>
      <c r="AA3" s="9"/>
      <c r="AB3" s="19"/>
      <c r="AC3" s="19"/>
      <c r="AD3" s="19"/>
      <c r="AE3" s="19"/>
      <c r="AF3" s="19"/>
      <c r="AG3" s="19"/>
      <c r="AH3" s="19"/>
      <c r="AI3" s="19"/>
      <c r="AJ3" s="19"/>
      <c r="AK3" s="19"/>
      <c r="AL3" s="19"/>
      <c r="AM3" s="19"/>
      <c r="AN3" s="19"/>
      <c r="AO3" s="19"/>
    </row>
    <row r="4">
      <c r="A4" s="6" t="s">
        <v>19</v>
      </c>
      <c r="B4" s="206" t="s">
        <v>1678</v>
      </c>
      <c r="C4" s="18" t="s">
        <v>1679</v>
      </c>
      <c r="D4" s="18" t="s">
        <v>1680</v>
      </c>
      <c r="E4" s="18" t="s">
        <v>1681</v>
      </c>
      <c r="F4" s="18" t="s">
        <v>1682</v>
      </c>
      <c r="G4" s="422" t="s">
        <v>1683</v>
      </c>
      <c r="H4" s="983" t="s">
        <v>1684</v>
      </c>
      <c r="J4" s="18" t="s">
        <v>1685</v>
      </c>
      <c r="K4" s="18" t="s">
        <v>1686</v>
      </c>
      <c r="L4" s="18" t="s">
        <v>1687</v>
      </c>
      <c r="M4" s="422" t="s">
        <v>1688</v>
      </c>
      <c r="N4" s="984" t="s">
        <v>1689</v>
      </c>
      <c r="O4" s="18" t="s">
        <v>1690</v>
      </c>
      <c r="P4" s="18" t="s">
        <v>1691</v>
      </c>
      <c r="Q4" s="18" t="s">
        <v>1692</v>
      </c>
      <c r="R4" s="18" t="s">
        <v>1693</v>
      </c>
      <c r="S4" s="18" t="s">
        <v>1694</v>
      </c>
      <c r="T4" s="18" t="s">
        <v>1695</v>
      </c>
      <c r="U4" s="18" t="s">
        <v>1696</v>
      </c>
      <c r="V4" s="19"/>
      <c r="W4" s="19"/>
      <c r="X4" s="19"/>
      <c r="Y4" s="19"/>
      <c r="Z4" s="19"/>
      <c r="AA4" s="21"/>
      <c r="AB4" s="21"/>
      <c r="AC4" s="21"/>
      <c r="AD4" s="21"/>
      <c r="AE4" s="21"/>
      <c r="AF4" s="21"/>
      <c r="AG4" s="21"/>
      <c r="AH4" s="21"/>
      <c r="AI4" s="21"/>
      <c r="AJ4" s="21"/>
      <c r="AK4" s="21"/>
      <c r="AL4" s="21"/>
      <c r="AM4" s="21"/>
      <c r="AN4" s="21"/>
      <c r="AO4" s="21"/>
    </row>
    <row r="5">
      <c r="A5" s="22" t="s">
        <v>20</v>
      </c>
      <c r="B5" s="985" t="s">
        <v>1697</v>
      </c>
      <c r="C5" s="985" t="s">
        <v>1698</v>
      </c>
      <c r="D5" s="985" t="s">
        <v>1699</v>
      </c>
      <c r="E5" s="985" t="s">
        <v>1700</v>
      </c>
      <c r="F5" s="985" t="s">
        <v>1701</v>
      </c>
      <c r="G5" s="986" t="s">
        <v>1702</v>
      </c>
      <c r="H5" s="987" t="s">
        <v>1703</v>
      </c>
      <c r="J5" s="985" t="s">
        <v>1704</v>
      </c>
      <c r="K5" s="985" t="s">
        <v>1705</v>
      </c>
      <c r="L5" s="423" t="s">
        <v>1706</v>
      </c>
      <c r="M5" s="988" t="s">
        <v>1707</v>
      </c>
      <c r="N5" s="989" t="s">
        <v>1708</v>
      </c>
      <c r="O5" s="989" t="s">
        <v>1709</v>
      </c>
      <c r="P5" s="989" t="s">
        <v>1710</v>
      </c>
      <c r="Q5" s="989" t="s">
        <v>1711</v>
      </c>
      <c r="R5" s="989" t="s">
        <v>1712</v>
      </c>
      <c r="S5" s="989" t="s">
        <v>1713</v>
      </c>
      <c r="T5" s="989" t="s">
        <v>1714</v>
      </c>
      <c r="U5" s="990" t="s">
        <v>1715</v>
      </c>
      <c r="V5" s="25"/>
      <c r="W5" s="24"/>
      <c r="X5" s="24"/>
      <c r="Y5" s="24"/>
      <c r="Z5" s="25"/>
      <c r="AA5" s="25"/>
      <c r="AB5" s="25"/>
      <c r="AC5" s="25"/>
      <c r="AD5" s="25"/>
      <c r="AE5" s="25"/>
      <c r="AF5" s="25"/>
      <c r="AG5" s="25"/>
      <c r="AH5" s="25"/>
      <c r="AI5" s="25"/>
      <c r="AJ5" s="25"/>
      <c r="AK5" s="25"/>
      <c r="AL5" s="25"/>
      <c r="AM5" s="25"/>
      <c r="AN5" s="25"/>
      <c r="AO5" s="25"/>
    </row>
    <row r="6">
      <c r="A6" s="29"/>
      <c r="B6" s="30"/>
      <c r="G6" s="458"/>
      <c r="H6" s="991"/>
      <c r="M6" s="458"/>
      <c r="N6" s="31"/>
      <c r="O6" s="992"/>
      <c r="U6" s="31"/>
    </row>
    <row r="7">
      <c r="A7" s="32" t="s">
        <v>21</v>
      </c>
      <c r="B7" s="33">
        <v>200.5</v>
      </c>
      <c r="C7" s="34">
        <v>206.5</v>
      </c>
      <c r="D7" s="34">
        <v>196.5</v>
      </c>
      <c r="E7" s="34">
        <v>211.0</v>
      </c>
      <c r="F7" s="34">
        <v>177.0</v>
      </c>
      <c r="G7" s="993">
        <v>96.5</v>
      </c>
      <c r="H7" s="994">
        <v>258.5</v>
      </c>
      <c r="I7" s="995"/>
      <c r="J7" s="34">
        <v>198.5</v>
      </c>
      <c r="K7" s="34">
        <v>202.0</v>
      </c>
      <c r="L7" s="34">
        <v>158.5</v>
      </c>
      <c r="M7" s="993">
        <v>99.5</v>
      </c>
      <c r="N7" s="36">
        <v>167.0</v>
      </c>
      <c r="O7" s="34">
        <v>176.0</v>
      </c>
      <c r="P7" s="34">
        <v>183.5</v>
      </c>
      <c r="Q7" s="34">
        <v>101.0</v>
      </c>
      <c r="R7" s="34">
        <v>470.0</v>
      </c>
      <c r="S7" s="993">
        <v>454.0</v>
      </c>
      <c r="T7" s="35">
        <v>434.0</v>
      </c>
      <c r="U7" s="36">
        <v>480.0</v>
      </c>
      <c r="V7" s="34"/>
      <c r="W7" s="34"/>
      <c r="X7" s="34"/>
      <c r="Y7" s="34"/>
      <c r="Z7" s="34"/>
      <c r="AA7" s="34"/>
      <c r="AB7" s="40"/>
      <c r="AC7" s="40"/>
      <c r="AD7" s="40"/>
      <c r="AE7" s="40"/>
      <c r="AF7" s="40"/>
      <c r="AG7" s="40"/>
      <c r="AH7" s="40"/>
      <c r="AI7" s="40"/>
      <c r="AJ7" s="40"/>
      <c r="AK7" s="40"/>
      <c r="AL7" s="40"/>
      <c r="AM7" s="40"/>
      <c r="AN7" s="40"/>
      <c r="AO7" s="40"/>
    </row>
    <row r="8">
      <c r="A8" s="37" t="s">
        <v>22</v>
      </c>
      <c r="B8" s="38">
        <v>182.0</v>
      </c>
      <c r="C8" s="39">
        <v>195.0</v>
      </c>
      <c r="D8" s="39">
        <v>190.5</v>
      </c>
      <c r="E8" s="39">
        <v>203.0</v>
      </c>
      <c r="F8" s="39">
        <v>170.0</v>
      </c>
      <c r="G8" s="429">
        <v>93.0</v>
      </c>
      <c r="H8" s="807">
        <v>249.5</v>
      </c>
      <c r="I8" s="996"/>
      <c r="J8" s="39">
        <v>194.5</v>
      </c>
      <c r="K8" s="39">
        <v>200.0</v>
      </c>
      <c r="L8" s="39">
        <v>156.5</v>
      </c>
      <c r="M8" s="429">
        <v>88.0</v>
      </c>
      <c r="N8" s="41">
        <v>154.0</v>
      </c>
      <c r="O8" s="39">
        <v>160.0</v>
      </c>
      <c r="P8" s="39">
        <v>171.5</v>
      </c>
      <c r="Q8" s="39">
        <v>95.5</v>
      </c>
      <c r="R8" s="39">
        <v>449.0</v>
      </c>
      <c r="S8" s="429">
        <v>448.0</v>
      </c>
      <c r="T8" s="40">
        <v>423.0</v>
      </c>
      <c r="U8" s="41">
        <v>464.0</v>
      </c>
      <c r="V8" s="39"/>
      <c r="W8" s="39"/>
      <c r="X8" s="39"/>
      <c r="Y8" s="39"/>
      <c r="Z8" s="39"/>
      <c r="AA8" s="39"/>
      <c r="AB8" s="40"/>
      <c r="AC8" s="40"/>
      <c r="AD8" s="40"/>
      <c r="AE8" s="40"/>
      <c r="AF8" s="40"/>
      <c r="AG8" s="40"/>
      <c r="AH8" s="40"/>
      <c r="AI8" s="40"/>
      <c r="AJ8" s="40"/>
      <c r="AK8" s="40"/>
      <c r="AL8" s="40"/>
      <c r="AM8" s="40"/>
      <c r="AN8" s="40"/>
      <c r="AO8" s="40"/>
    </row>
    <row r="9">
      <c r="A9" s="37" t="s">
        <v>23</v>
      </c>
      <c r="B9" s="38">
        <f t="shared" ref="B9:H9" si="1">B7-B8</f>
        <v>18.5</v>
      </c>
      <c r="C9" s="38">
        <f t="shared" si="1"/>
        <v>11.5</v>
      </c>
      <c r="D9" s="38">
        <f t="shared" si="1"/>
        <v>6</v>
      </c>
      <c r="E9" s="38">
        <f t="shared" si="1"/>
        <v>8</v>
      </c>
      <c r="F9" s="38">
        <f t="shared" si="1"/>
        <v>7</v>
      </c>
      <c r="G9" s="426">
        <f t="shared" si="1"/>
        <v>3.5</v>
      </c>
      <c r="H9" s="997">
        <f t="shared" si="1"/>
        <v>9</v>
      </c>
      <c r="I9" s="996"/>
      <c r="J9" s="38">
        <f t="shared" ref="J9:AA9" si="2">J7-J8</f>
        <v>4</v>
      </c>
      <c r="K9" s="38">
        <f t="shared" si="2"/>
        <v>2</v>
      </c>
      <c r="L9" s="38">
        <f t="shared" si="2"/>
        <v>2</v>
      </c>
      <c r="M9" s="426">
        <f t="shared" si="2"/>
        <v>11.5</v>
      </c>
      <c r="N9" s="998">
        <f t="shared" si="2"/>
        <v>13</v>
      </c>
      <c r="O9" s="38">
        <f t="shared" si="2"/>
        <v>16</v>
      </c>
      <c r="P9" s="38">
        <f t="shared" si="2"/>
        <v>12</v>
      </c>
      <c r="Q9" s="38">
        <f t="shared" si="2"/>
        <v>5.5</v>
      </c>
      <c r="R9" s="38">
        <f t="shared" si="2"/>
        <v>21</v>
      </c>
      <c r="S9" s="426">
        <f t="shared" si="2"/>
        <v>6</v>
      </c>
      <c r="T9" s="426">
        <f t="shared" si="2"/>
        <v>11</v>
      </c>
      <c r="U9" s="426">
        <f t="shared" si="2"/>
        <v>16</v>
      </c>
      <c r="V9" s="38">
        <f t="shared" si="2"/>
        <v>0</v>
      </c>
      <c r="W9" s="38">
        <f t="shared" si="2"/>
        <v>0</v>
      </c>
      <c r="X9" s="38">
        <f t="shared" si="2"/>
        <v>0</v>
      </c>
      <c r="Y9" s="38">
        <f t="shared" si="2"/>
        <v>0</v>
      </c>
      <c r="Z9" s="38">
        <f t="shared" si="2"/>
        <v>0</v>
      </c>
      <c r="AA9" s="38">
        <f t="shared" si="2"/>
        <v>0</v>
      </c>
      <c r="AB9" s="46"/>
      <c r="AC9" s="46"/>
      <c r="AD9" s="46"/>
      <c r="AE9" s="46"/>
      <c r="AF9" s="46"/>
      <c r="AG9" s="46"/>
      <c r="AH9" s="46"/>
      <c r="AI9" s="46"/>
      <c r="AJ9" s="46"/>
      <c r="AK9" s="46"/>
      <c r="AL9" s="46"/>
      <c r="AM9" s="46"/>
      <c r="AN9" s="46"/>
      <c r="AO9" s="46"/>
    </row>
    <row r="10">
      <c r="A10" s="42" t="s">
        <v>24</v>
      </c>
      <c r="B10" s="43">
        <f t="shared" ref="B10:H10" si="3">IFERROR(B9/B7, 0)</f>
        <v>0.09226932668</v>
      </c>
      <c r="C10" s="43">
        <f t="shared" si="3"/>
        <v>0.05569007264</v>
      </c>
      <c r="D10" s="43">
        <f t="shared" si="3"/>
        <v>0.03053435115</v>
      </c>
      <c r="E10" s="43">
        <f t="shared" si="3"/>
        <v>0.03791469194</v>
      </c>
      <c r="F10" s="43">
        <f t="shared" si="3"/>
        <v>0.0395480226</v>
      </c>
      <c r="G10" s="427">
        <f t="shared" si="3"/>
        <v>0.03626943005</v>
      </c>
      <c r="H10" s="999">
        <f t="shared" si="3"/>
        <v>0.03481624758</v>
      </c>
      <c r="I10" s="580"/>
      <c r="J10" s="43">
        <f t="shared" ref="J10:AA10" si="4">IFERROR(J9/J7, 0)</f>
        <v>0.0201511335</v>
      </c>
      <c r="K10" s="43">
        <f t="shared" si="4"/>
        <v>0.009900990099</v>
      </c>
      <c r="L10" s="43">
        <f t="shared" si="4"/>
        <v>0.01261829653</v>
      </c>
      <c r="M10" s="427">
        <f t="shared" si="4"/>
        <v>0.1155778894</v>
      </c>
      <c r="N10" s="45">
        <f t="shared" si="4"/>
        <v>0.07784431138</v>
      </c>
      <c r="O10" s="43">
        <f t="shared" si="4"/>
        <v>0.09090909091</v>
      </c>
      <c r="P10" s="43">
        <f t="shared" si="4"/>
        <v>0.06539509537</v>
      </c>
      <c r="Q10" s="43">
        <f t="shared" si="4"/>
        <v>0.05445544554</v>
      </c>
      <c r="R10" s="43">
        <f t="shared" si="4"/>
        <v>0.04468085106</v>
      </c>
      <c r="S10" s="427">
        <f t="shared" si="4"/>
        <v>0.01321585903</v>
      </c>
      <c r="T10" s="427">
        <f t="shared" si="4"/>
        <v>0.02534562212</v>
      </c>
      <c r="U10" s="427">
        <f t="shared" si="4"/>
        <v>0.03333333333</v>
      </c>
      <c r="V10" s="427">
        <f t="shared" si="4"/>
        <v>0</v>
      </c>
      <c r="W10" s="43">
        <f t="shared" si="4"/>
        <v>0</v>
      </c>
      <c r="X10" s="43">
        <f t="shared" si="4"/>
        <v>0</v>
      </c>
      <c r="Y10" s="43">
        <f t="shared" si="4"/>
        <v>0</v>
      </c>
      <c r="Z10" s="43">
        <f t="shared" si="4"/>
        <v>0</v>
      </c>
      <c r="AA10" s="43">
        <f t="shared" si="4"/>
        <v>0</v>
      </c>
      <c r="AB10" s="428"/>
      <c r="AC10" s="428"/>
      <c r="AD10" s="428"/>
      <c r="AE10" s="428"/>
      <c r="AF10" s="428"/>
      <c r="AG10" s="428"/>
      <c r="AH10" s="428"/>
      <c r="AI10" s="428"/>
      <c r="AJ10" s="428"/>
      <c r="AK10" s="428"/>
      <c r="AL10" s="428"/>
      <c r="AM10" s="428"/>
      <c r="AN10" s="428"/>
      <c r="AO10" s="428"/>
    </row>
    <row r="11">
      <c r="A11" s="40"/>
      <c r="B11" s="46"/>
      <c r="C11" s="40"/>
      <c r="D11" s="40"/>
      <c r="E11" s="40"/>
      <c r="F11" s="40"/>
      <c r="G11" s="429"/>
      <c r="H11" s="807"/>
      <c r="J11" s="40"/>
      <c r="K11" s="40"/>
      <c r="L11" s="40"/>
      <c r="M11" s="429"/>
      <c r="N11" s="47"/>
      <c r="O11" s="40"/>
      <c r="P11" s="40"/>
      <c r="Q11" s="40"/>
      <c r="R11" s="40"/>
      <c r="S11" s="429"/>
      <c r="T11" s="40"/>
      <c r="U11" s="47"/>
      <c r="V11" s="40"/>
      <c r="W11" s="40"/>
      <c r="X11" s="40"/>
      <c r="Y11" s="40"/>
      <c r="Z11" s="40"/>
      <c r="AA11" s="40"/>
      <c r="AB11" s="40"/>
      <c r="AC11" s="40"/>
      <c r="AD11" s="40"/>
      <c r="AE11" s="40"/>
      <c r="AF11" s="40"/>
      <c r="AG11" s="40"/>
      <c r="AH11" s="40"/>
      <c r="AI11" s="40"/>
      <c r="AJ11" s="40"/>
      <c r="AK11" s="40"/>
      <c r="AL11" s="40"/>
      <c r="AM11" s="40"/>
      <c r="AN11" s="40"/>
      <c r="AO11" s="40"/>
    </row>
    <row r="12">
      <c r="A12" s="48" t="s">
        <v>25</v>
      </c>
      <c r="B12" s="49">
        <v>16.0</v>
      </c>
      <c r="C12" s="50">
        <v>11.5</v>
      </c>
      <c r="D12" s="50">
        <v>3.5</v>
      </c>
      <c r="E12" s="50">
        <v>4.0</v>
      </c>
      <c r="F12" s="50">
        <v>5.5</v>
      </c>
      <c r="G12" s="1000">
        <v>9.0</v>
      </c>
      <c r="H12" s="1001">
        <v>14.0</v>
      </c>
      <c r="I12" s="995"/>
      <c r="J12" s="50">
        <v>13.0</v>
      </c>
      <c r="K12" s="50">
        <v>4.0</v>
      </c>
      <c r="L12" s="50">
        <v>3.5</v>
      </c>
      <c r="M12" s="1000">
        <v>5.5</v>
      </c>
      <c r="N12" s="52">
        <v>6.0</v>
      </c>
      <c r="O12" s="50">
        <v>16.0</v>
      </c>
      <c r="P12" s="50">
        <v>9.0</v>
      </c>
      <c r="Q12" s="50">
        <v>8.5</v>
      </c>
      <c r="R12" s="50">
        <v>38.0</v>
      </c>
      <c r="S12" s="1000">
        <v>36.0</v>
      </c>
      <c r="T12" s="51">
        <v>46.0</v>
      </c>
      <c r="U12" s="52">
        <v>27.0</v>
      </c>
      <c r="V12" s="50"/>
      <c r="W12" s="50"/>
      <c r="X12" s="50"/>
      <c r="Y12" s="50"/>
      <c r="Z12" s="50"/>
      <c r="AA12" s="50"/>
      <c r="AB12" s="56"/>
      <c r="AC12" s="56"/>
      <c r="AD12" s="56"/>
      <c r="AE12" s="56"/>
      <c r="AF12" s="56"/>
      <c r="AG12" s="56"/>
      <c r="AH12" s="56"/>
      <c r="AI12" s="56"/>
      <c r="AJ12" s="56"/>
      <c r="AK12" s="56"/>
      <c r="AL12" s="56"/>
      <c r="AM12" s="56"/>
      <c r="AN12" s="56"/>
      <c r="AO12" s="56"/>
    </row>
    <row r="13">
      <c r="A13" s="53" t="s">
        <v>26</v>
      </c>
      <c r="B13" s="54">
        <v>9.5</v>
      </c>
      <c r="C13" s="55">
        <v>11.0</v>
      </c>
      <c r="D13" s="55">
        <v>3.0</v>
      </c>
      <c r="E13" s="55">
        <v>2.5</v>
      </c>
      <c r="F13" s="55">
        <v>2.0</v>
      </c>
      <c r="G13" s="430">
        <v>6.5</v>
      </c>
      <c r="H13" s="821">
        <v>10.5</v>
      </c>
      <c r="I13" s="996"/>
      <c r="J13" s="55">
        <v>12.0</v>
      </c>
      <c r="K13" s="55">
        <v>3.5</v>
      </c>
      <c r="L13" s="55">
        <v>4.5</v>
      </c>
      <c r="M13" s="430">
        <v>6.0</v>
      </c>
      <c r="N13" s="57">
        <v>5.5</v>
      </c>
      <c r="O13" s="55">
        <v>12.0</v>
      </c>
      <c r="P13" s="55">
        <v>6.0</v>
      </c>
      <c r="Q13" s="55">
        <v>7.0</v>
      </c>
      <c r="R13" s="55">
        <v>49.0</v>
      </c>
      <c r="S13" s="430">
        <v>35.0</v>
      </c>
      <c r="T13" s="56">
        <v>46.0</v>
      </c>
      <c r="U13" s="57">
        <v>13.0</v>
      </c>
      <c r="V13" s="55"/>
      <c r="W13" s="55"/>
      <c r="X13" s="55"/>
      <c r="Y13" s="55"/>
      <c r="Z13" s="55"/>
      <c r="AA13" s="55"/>
      <c r="AB13" s="56"/>
      <c r="AC13" s="56"/>
      <c r="AD13" s="56"/>
      <c r="AE13" s="56"/>
      <c r="AF13" s="56"/>
      <c r="AG13" s="56"/>
      <c r="AH13" s="56"/>
      <c r="AI13" s="56"/>
      <c r="AJ13" s="56"/>
      <c r="AK13" s="56"/>
      <c r="AL13" s="56"/>
      <c r="AM13" s="56"/>
      <c r="AN13" s="56"/>
      <c r="AO13" s="56"/>
    </row>
    <row r="14">
      <c r="A14" s="58" t="s">
        <v>27</v>
      </c>
      <c r="B14" s="59">
        <v>7.5</v>
      </c>
      <c r="C14" s="60">
        <v>0.5</v>
      </c>
      <c r="D14" s="60">
        <v>1.0</v>
      </c>
      <c r="E14" s="60">
        <v>1.5</v>
      </c>
      <c r="F14" s="60">
        <v>3.5</v>
      </c>
      <c r="G14" s="1002">
        <v>2.5</v>
      </c>
      <c r="H14" s="1003">
        <v>3.5</v>
      </c>
      <c r="I14" s="580"/>
      <c r="J14" s="60">
        <v>1.0</v>
      </c>
      <c r="K14" s="60">
        <v>0.5</v>
      </c>
      <c r="L14" s="60">
        <v>1.0</v>
      </c>
      <c r="M14" s="1002">
        <v>4.5</v>
      </c>
      <c r="N14" s="62">
        <v>0.5</v>
      </c>
      <c r="O14" s="60">
        <v>4.0</v>
      </c>
      <c r="P14" s="60">
        <v>3.5</v>
      </c>
      <c r="Q14" s="60">
        <v>1.5</v>
      </c>
      <c r="R14" s="60">
        <v>5.0</v>
      </c>
      <c r="S14" s="1002">
        <v>1.0</v>
      </c>
      <c r="T14" s="61">
        <v>0.0</v>
      </c>
      <c r="U14" s="62">
        <v>14.0</v>
      </c>
      <c r="V14" s="60"/>
      <c r="W14" s="60"/>
      <c r="X14" s="60"/>
      <c r="Y14" s="60"/>
      <c r="Z14" s="60"/>
      <c r="AA14" s="60"/>
      <c r="AB14" s="56"/>
      <c r="AC14" s="56"/>
      <c r="AD14" s="56"/>
      <c r="AE14" s="56"/>
      <c r="AF14" s="56"/>
      <c r="AG14" s="56"/>
      <c r="AH14" s="56"/>
      <c r="AI14" s="56"/>
      <c r="AJ14" s="56"/>
      <c r="AK14" s="56"/>
      <c r="AL14" s="56"/>
      <c r="AM14" s="56"/>
      <c r="AN14" s="56"/>
      <c r="AO14" s="56"/>
    </row>
    <row r="15">
      <c r="A15" s="56"/>
      <c r="B15" s="63"/>
      <c r="C15" s="56"/>
      <c r="D15" s="56"/>
      <c r="E15" s="56"/>
      <c r="F15" s="56"/>
      <c r="G15" s="430"/>
      <c r="H15" s="821"/>
      <c r="J15" s="56"/>
      <c r="K15" s="56"/>
      <c r="L15" s="56"/>
      <c r="M15" s="430"/>
      <c r="N15" s="64"/>
      <c r="O15" s="56"/>
      <c r="P15" s="56"/>
      <c r="Q15" s="56"/>
      <c r="R15" s="56"/>
      <c r="S15" s="430"/>
      <c r="T15" s="56"/>
      <c r="U15" s="64"/>
      <c r="V15" s="56"/>
      <c r="W15" s="56"/>
      <c r="X15" s="56"/>
      <c r="Y15" s="56"/>
      <c r="Z15" s="56"/>
      <c r="AA15" s="56"/>
      <c r="AB15" s="56"/>
      <c r="AC15" s="56"/>
      <c r="AD15" s="56"/>
      <c r="AE15" s="56"/>
      <c r="AF15" s="56"/>
      <c r="AG15" s="56"/>
      <c r="AH15" s="56"/>
      <c r="AI15" s="56"/>
      <c r="AJ15" s="56"/>
      <c r="AK15" s="56"/>
      <c r="AL15" s="56"/>
      <c r="AM15" s="56"/>
      <c r="AN15" s="56"/>
      <c r="AO15" s="56"/>
    </row>
    <row r="16" hidden="1">
      <c r="A16" s="1004" t="s">
        <v>28</v>
      </c>
      <c r="B16" s="432"/>
      <c r="C16" s="65"/>
      <c r="D16" s="65"/>
      <c r="E16" s="65"/>
      <c r="F16" s="65"/>
      <c r="G16" s="1005"/>
      <c r="H16" s="1006"/>
      <c r="I16" s="575"/>
      <c r="J16" s="65"/>
      <c r="K16" s="65"/>
      <c r="L16" s="65"/>
      <c r="M16" s="1005"/>
      <c r="N16" s="68"/>
      <c r="O16" s="65"/>
      <c r="P16" s="65"/>
      <c r="Q16" s="65"/>
      <c r="R16" s="65"/>
      <c r="S16" s="1005"/>
      <c r="T16" s="1004"/>
      <c r="U16" s="68"/>
      <c r="V16" s="65"/>
      <c r="W16" s="65"/>
      <c r="X16" s="65"/>
      <c r="Y16" s="65"/>
      <c r="Z16" s="65"/>
      <c r="AA16" s="65"/>
      <c r="AB16" s="56"/>
      <c r="AC16" s="56"/>
      <c r="AD16" s="56"/>
      <c r="AE16" s="56"/>
      <c r="AF16" s="56"/>
      <c r="AG16" s="56"/>
      <c r="AH16" s="56"/>
      <c r="AI16" s="56"/>
      <c r="AJ16" s="56"/>
      <c r="AK16" s="56"/>
      <c r="AL16" s="56"/>
      <c r="AM16" s="56"/>
      <c r="AN16" s="56"/>
      <c r="AO16" s="56"/>
    </row>
    <row r="17" hidden="1">
      <c r="A17" s="1004" t="s">
        <v>29</v>
      </c>
      <c r="B17" s="432"/>
      <c r="C17" s="65"/>
      <c r="D17" s="65"/>
      <c r="E17" s="65"/>
      <c r="F17" s="65"/>
      <c r="G17" s="1005"/>
      <c r="H17" s="1006"/>
      <c r="I17" s="575"/>
      <c r="J17" s="65"/>
      <c r="K17" s="65"/>
      <c r="L17" s="65"/>
      <c r="M17" s="1005"/>
      <c r="N17" s="68"/>
      <c r="O17" s="65"/>
      <c r="P17" s="65"/>
      <c r="Q17" s="65"/>
      <c r="R17" s="65"/>
      <c r="S17" s="1005"/>
      <c r="T17" s="1004"/>
      <c r="U17" s="68"/>
      <c r="V17" s="65"/>
      <c r="W17" s="65"/>
      <c r="X17" s="65"/>
      <c r="Y17" s="65"/>
      <c r="Z17" s="65"/>
      <c r="AA17" s="65"/>
      <c r="AB17" s="56"/>
      <c r="AC17" s="56"/>
      <c r="AD17" s="56"/>
      <c r="AE17" s="56"/>
      <c r="AF17" s="56"/>
      <c r="AG17" s="56"/>
      <c r="AH17" s="56"/>
      <c r="AI17" s="56"/>
      <c r="AJ17" s="56"/>
      <c r="AK17" s="56"/>
      <c r="AL17" s="56"/>
      <c r="AM17" s="56"/>
      <c r="AN17" s="56"/>
      <c r="AO17" s="56"/>
    </row>
    <row r="18">
      <c r="A18" s="69" t="s">
        <v>30</v>
      </c>
      <c r="B18" s="70">
        <v>115.0</v>
      </c>
      <c r="C18" s="69">
        <v>113.0</v>
      </c>
      <c r="D18" s="69">
        <v>81.5</v>
      </c>
      <c r="E18" s="69">
        <v>93.0</v>
      </c>
      <c r="F18" s="69">
        <v>76.5</v>
      </c>
      <c r="G18" s="1007">
        <v>45.0</v>
      </c>
      <c r="H18" s="828">
        <v>146.0</v>
      </c>
      <c r="J18" s="69">
        <v>79.5</v>
      </c>
      <c r="K18" s="69">
        <v>51.5</v>
      </c>
      <c r="L18" s="69">
        <v>70.5</v>
      </c>
      <c r="M18" s="1007">
        <v>41.5</v>
      </c>
      <c r="N18" s="71">
        <v>58.0</v>
      </c>
      <c r="O18" s="69">
        <v>61.5</v>
      </c>
      <c r="P18" s="69">
        <v>84.5</v>
      </c>
      <c r="Q18" s="69">
        <v>21.5</v>
      </c>
      <c r="R18" s="69">
        <v>147.0</v>
      </c>
      <c r="S18" s="1007">
        <v>182.0</v>
      </c>
      <c r="T18" s="69">
        <v>174.0</v>
      </c>
      <c r="U18" s="71">
        <v>243.0</v>
      </c>
      <c r="V18" s="69"/>
      <c r="W18" s="69"/>
      <c r="X18" s="69"/>
      <c r="Y18" s="69"/>
      <c r="Z18" s="69"/>
      <c r="AA18" s="72"/>
      <c r="AB18" s="72"/>
      <c r="AC18" s="72"/>
      <c r="AD18" s="72"/>
      <c r="AE18" s="72"/>
      <c r="AF18" s="72"/>
      <c r="AG18" s="72"/>
      <c r="AH18" s="72"/>
      <c r="AI18" s="72"/>
      <c r="AJ18" s="72"/>
      <c r="AK18" s="72"/>
      <c r="AL18" s="72"/>
      <c r="AM18" s="72"/>
      <c r="AN18" s="72"/>
      <c r="AO18" s="72"/>
    </row>
    <row r="19">
      <c r="A19" s="74" t="s">
        <v>31</v>
      </c>
      <c r="B19" s="75">
        <v>195.0</v>
      </c>
      <c r="C19" s="74">
        <v>199.5</v>
      </c>
      <c r="D19" s="74">
        <v>195.0</v>
      </c>
      <c r="E19" s="74">
        <v>175.0</v>
      </c>
      <c r="F19" s="74">
        <v>155.0</v>
      </c>
      <c r="G19" s="1008">
        <v>90.5</v>
      </c>
      <c r="H19" s="832">
        <v>230.5</v>
      </c>
      <c r="J19" s="74">
        <v>161.5</v>
      </c>
      <c r="K19" s="74">
        <v>157.5</v>
      </c>
      <c r="L19" s="74">
        <v>107.5</v>
      </c>
      <c r="M19" s="1008">
        <v>80.5</v>
      </c>
      <c r="N19" s="76">
        <v>106.0</v>
      </c>
      <c r="O19" s="74">
        <v>133.5</v>
      </c>
      <c r="P19" s="69">
        <v>144.0</v>
      </c>
      <c r="Q19" s="74">
        <v>91.0</v>
      </c>
      <c r="R19" s="74">
        <v>391.0</v>
      </c>
      <c r="S19" s="1008">
        <v>396.0</v>
      </c>
      <c r="T19" s="74">
        <v>421.0</v>
      </c>
      <c r="U19" s="76">
        <v>343.0</v>
      </c>
      <c r="V19" s="74"/>
      <c r="W19" s="74"/>
      <c r="X19" s="74"/>
      <c r="Y19" s="74"/>
      <c r="Z19" s="74"/>
      <c r="AA19" s="77"/>
      <c r="AB19" s="77"/>
      <c r="AC19" s="77"/>
      <c r="AD19" s="77"/>
      <c r="AE19" s="77"/>
      <c r="AF19" s="77"/>
      <c r="AG19" s="77"/>
      <c r="AH19" s="77"/>
      <c r="AI19" s="77"/>
      <c r="AJ19" s="77"/>
      <c r="AK19" s="77"/>
      <c r="AL19" s="77"/>
      <c r="AM19" s="77"/>
      <c r="AN19" s="77"/>
      <c r="AO19" s="77"/>
    </row>
    <row r="20">
      <c r="A20" s="69" t="s">
        <v>32</v>
      </c>
      <c r="B20" s="70">
        <v>83.5</v>
      </c>
      <c r="C20" s="69">
        <v>81.0</v>
      </c>
      <c r="D20" s="69">
        <v>73.5</v>
      </c>
      <c r="E20" s="69">
        <v>73.0</v>
      </c>
      <c r="F20" s="69">
        <v>45.0</v>
      </c>
      <c r="G20" s="1007">
        <v>39.0</v>
      </c>
      <c r="H20" s="828">
        <v>139.0</v>
      </c>
      <c r="J20" s="69">
        <v>63.0</v>
      </c>
      <c r="K20" s="69">
        <v>40.0</v>
      </c>
      <c r="L20" s="69">
        <v>54.5</v>
      </c>
      <c r="M20" s="1007">
        <v>28.0</v>
      </c>
      <c r="N20" s="71">
        <v>56.0</v>
      </c>
      <c r="O20" s="69">
        <v>58.5</v>
      </c>
      <c r="P20" s="69">
        <v>42.5</v>
      </c>
      <c r="Q20" s="69">
        <v>17.5</v>
      </c>
      <c r="R20" s="69">
        <v>118.0</v>
      </c>
      <c r="S20" s="1007">
        <v>119.0</v>
      </c>
      <c r="T20" s="69">
        <v>128.0</v>
      </c>
      <c r="U20" s="71">
        <v>198.0</v>
      </c>
      <c r="V20" s="69"/>
      <c r="W20" s="69"/>
      <c r="X20" s="69"/>
      <c r="Y20" s="69"/>
      <c r="Z20" s="69"/>
      <c r="AA20" s="72"/>
      <c r="AB20" s="72"/>
      <c r="AC20" s="72"/>
      <c r="AD20" s="72"/>
      <c r="AE20" s="72"/>
      <c r="AF20" s="72"/>
      <c r="AG20" s="72"/>
      <c r="AH20" s="72"/>
      <c r="AI20" s="72"/>
      <c r="AJ20" s="72"/>
      <c r="AK20" s="72"/>
      <c r="AL20" s="72"/>
      <c r="AM20" s="72"/>
      <c r="AN20" s="72"/>
      <c r="AO20" s="72"/>
    </row>
    <row r="21">
      <c r="A21" s="79" t="s">
        <v>33</v>
      </c>
      <c r="B21" s="80">
        <v>5.5</v>
      </c>
      <c r="C21" s="80">
        <v>8.0</v>
      </c>
      <c r="D21" s="80">
        <v>1.5</v>
      </c>
      <c r="E21" s="80">
        <v>36.0</v>
      </c>
      <c r="F21" s="79">
        <v>22.0</v>
      </c>
      <c r="G21" s="81">
        <v>6.0</v>
      </c>
      <c r="H21" s="1009">
        <v>28.0</v>
      </c>
      <c r="J21" s="79">
        <v>37.0</v>
      </c>
      <c r="K21" s="79">
        <v>44.5</v>
      </c>
      <c r="L21" s="79">
        <v>51.0</v>
      </c>
      <c r="M21" s="81">
        <v>19.0</v>
      </c>
      <c r="N21" s="660">
        <v>61.0</v>
      </c>
      <c r="O21" s="79">
        <v>42.5</v>
      </c>
      <c r="P21" s="69">
        <v>39.5</v>
      </c>
      <c r="Q21" s="79">
        <v>10.0</v>
      </c>
      <c r="R21" s="79">
        <v>79.0</v>
      </c>
      <c r="S21" s="81">
        <v>58.0</v>
      </c>
      <c r="T21" s="79">
        <v>13.0</v>
      </c>
      <c r="U21" s="660">
        <v>137.0</v>
      </c>
      <c r="V21" s="79"/>
      <c r="W21" s="79"/>
      <c r="X21" s="79"/>
      <c r="Y21" s="79"/>
      <c r="Z21" s="79"/>
      <c r="AA21" s="79"/>
      <c r="AB21" s="79"/>
      <c r="AC21" s="79"/>
      <c r="AD21" s="79"/>
      <c r="AE21" s="79"/>
      <c r="AF21" s="79"/>
      <c r="AG21" s="79"/>
      <c r="AH21" s="79"/>
      <c r="AI21" s="79"/>
      <c r="AJ21" s="79"/>
      <c r="AK21" s="79"/>
      <c r="AL21" s="79"/>
      <c r="AM21" s="79"/>
      <c r="AN21" s="79"/>
      <c r="AO21" s="79"/>
    </row>
    <row r="22">
      <c r="A22" s="82" t="s">
        <v>34</v>
      </c>
      <c r="B22" s="83">
        <v>114.5</v>
      </c>
      <c r="C22" s="83">
        <v>109.5</v>
      </c>
      <c r="D22" s="85">
        <v>80.0</v>
      </c>
      <c r="E22" s="85">
        <v>106.5</v>
      </c>
      <c r="F22" s="85">
        <v>77.5</v>
      </c>
      <c r="G22" s="1010">
        <v>47.5</v>
      </c>
      <c r="H22" s="841">
        <v>143.0</v>
      </c>
      <c r="J22" s="85">
        <v>105.0</v>
      </c>
      <c r="K22" s="85">
        <v>83.0</v>
      </c>
      <c r="L22" s="85">
        <v>84.0</v>
      </c>
      <c r="M22" s="1010">
        <v>44.0</v>
      </c>
      <c r="N22" s="86">
        <v>77.0</v>
      </c>
      <c r="O22" s="85">
        <v>83.0</v>
      </c>
      <c r="P22" s="85">
        <v>89.0</v>
      </c>
      <c r="Q22" s="85">
        <v>34.0</v>
      </c>
      <c r="R22" s="85">
        <v>194.0</v>
      </c>
      <c r="S22" s="1010">
        <v>230.0</v>
      </c>
      <c r="T22" s="85">
        <v>165.0</v>
      </c>
      <c r="U22" s="86">
        <v>280.0</v>
      </c>
      <c r="V22" s="85"/>
      <c r="W22" s="85"/>
      <c r="X22" s="85"/>
      <c r="Y22" s="85"/>
      <c r="Z22" s="85"/>
      <c r="AA22" s="87"/>
      <c r="AB22" s="87"/>
      <c r="AC22" s="87"/>
      <c r="AD22" s="87"/>
      <c r="AE22" s="87"/>
      <c r="AF22" s="87"/>
      <c r="AG22" s="87"/>
      <c r="AH22" s="87"/>
      <c r="AI22" s="87"/>
      <c r="AJ22" s="87"/>
      <c r="AK22" s="87"/>
      <c r="AL22" s="87"/>
      <c r="AM22" s="87"/>
      <c r="AN22" s="87"/>
      <c r="AO22" s="87"/>
    </row>
    <row r="23" ht="208.5" customHeight="1">
      <c r="A23" s="1011" t="s">
        <v>35</v>
      </c>
      <c r="B23" s="441" t="s">
        <v>1716</v>
      </c>
      <c r="C23" s="441" t="s">
        <v>1717</v>
      </c>
      <c r="D23" s="441" t="s">
        <v>1718</v>
      </c>
      <c r="E23" s="441" t="s">
        <v>1719</v>
      </c>
      <c r="F23" s="441" t="s">
        <v>1720</v>
      </c>
      <c r="G23" s="442" t="s">
        <v>1721</v>
      </c>
      <c r="H23" s="1012" t="s">
        <v>1722</v>
      </c>
      <c r="I23" s="1013"/>
      <c r="J23" s="441" t="s">
        <v>1723</v>
      </c>
      <c r="K23" s="441" t="s">
        <v>1724</v>
      </c>
      <c r="L23" s="91" t="s">
        <v>1725</v>
      </c>
      <c r="M23" s="91" t="s">
        <v>1726</v>
      </c>
      <c r="N23" s="93" t="s">
        <v>1727</v>
      </c>
      <c r="O23" s="91" t="s">
        <v>1728</v>
      </c>
      <c r="P23" s="91" t="s">
        <v>1729</v>
      </c>
      <c r="Q23" s="91" t="s">
        <v>1730</v>
      </c>
      <c r="R23" s="91" t="s">
        <v>1731</v>
      </c>
      <c r="S23" s="847" t="s">
        <v>1732</v>
      </c>
      <c r="T23" s="91" t="s">
        <v>1733</v>
      </c>
      <c r="U23" s="93" t="s">
        <v>1734</v>
      </c>
      <c r="V23" s="91"/>
      <c r="W23" s="91"/>
      <c r="X23" s="91"/>
      <c r="Y23" s="91"/>
      <c r="Z23" s="91"/>
      <c r="AA23" s="91"/>
      <c r="AB23" s="94"/>
      <c r="AC23" s="94"/>
      <c r="AD23" s="94"/>
      <c r="AE23" s="94"/>
      <c r="AF23" s="94"/>
      <c r="AG23" s="94"/>
      <c r="AH23" s="94"/>
      <c r="AI23" s="94"/>
      <c r="AJ23" s="94"/>
      <c r="AK23" s="94"/>
      <c r="AL23" s="94"/>
      <c r="AM23" s="94"/>
      <c r="AN23" s="94"/>
      <c r="AO23" s="94"/>
    </row>
    <row r="24">
      <c r="A24" s="1014" t="s">
        <v>36</v>
      </c>
      <c r="B24" s="97">
        <v>0.0</v>
      </c>
      <c r="C24" s="97">
        <v>1.0</v>
      </c>
      <c r="D24" s="98">
        <v>0.0</v>
      </c>
      <c r="E24" s="97">
        <v>1.0</v>
      </c>
      <c r="F24" s="97">
        <v>1.0</v>
      </c>
      <c r="G24" s="444">
        <v>1.0</v>
      </c>
      <c r="H24" s="1015">
        <v>1.0</v>
      </c>
      <c r="J24" s="98">
        <v>0.0</v>
      </c>
      <c r="K24" s="97">
        <v>1.0</v>
      </c>
      <c r="L24" s="97">
        <v>1.0</v>
      </c>
      <c r="M24" s="1016">
        <v>0.0</v>
      </c>
      <c r="N24" s="1017">
        <v>0.0</v>
      </c>
      <c r="O24" s="97">
        <v>1.0</v>
      </c>
      <c r="P24" s="97">
        <v>1.0</v>
      </c>
      <c r="Q24" s="97">
        <v>1.0</v>
      </c>
      <c r="R24" s="97">
        <v>1.0</v>
      </c>
      <c r="S24" s="444">
        <v>1.0</v>
      </c>
      <c r="T24" s="97">
        <v>1.0</v>
      </c>
      <c r="U24" s="1017">
        <v>0.0</v>
      </c>
      <c r="V24" s="98">
        <v>0.0</v>
      </c>
      <c r="W24" s="98">
        <v>0.0</v>
      </c>
      <c r="X24" s="98">
        <v>0.0</v>
      </c>
      <c r="Y24" s="98">
        <v>0.0</v>
      </c>
      <c r="Z24" s="98">
        <v>0.0</v>
      </c>
      <c r="AA24" s="98">
        <v>0.0</v>
      </c>
      <c r="AB24" s="98"/>
      <c r="AC24" s="98"/>
      <c r="AD24" s="98"/>
      <c r="AE24" s="98"/>
      <c r="AF24" s="98"/>
      <c r="AG24" s="98"/>
      <c r="AH24" s="98"/>
      <c r="AI24" s="98"/>
      <c r="AJ24" s="98"/>
      <c r="AK24" s="98"/>
      <c r="AL24" s="98"/>
      <c r="AM24" s="98"/>
      <c r="AN24" s="98"/>
      <c r="AO24" s="98"/>
    </row>
    <row r="25">
      <c r="A25" s="1018" t="s">
        <v>37</v>
      </c>
      <c r="B25" s="102">
        <f t="shared" ref="B25:H25" si="5">IFERROR(B19/B8, 0)</f>
        <v>1.071428571</v>
      </c>
      <c r="C25" s="102">
        <f t="shared" si="5"/>
        <v>1.023076923</v>
      </c>
      <c r="D25" s="102">
        <f t="shared" si="5"/>
        <v>1.023622047</v>
      </c>
      <c r="E25" s="102">
        <f t="shared" si="5"/>
        <v>0.8620689655</v>
      </c>
      <c r="F25" s="102">
        <f t="shared" si="5"/>
        <v>0.9117647059</v>
      </c>
      <c r="G25" s="102">
        <f t="shared" si="5"/>
        <v>0.9731182796</v>
      </c>
      <c r="H25" s="1019">
        <f t="shared" si="5"/>
        <v>0.9238476954</v>
      </c>
      <c r="J25" s="102">
        <f t="shared" ref="J25:Z25" si="6">IFERROR(J19/J8, 0)</f>
        <v>0.8303341902</v>
      </c>
      <c r="K25" s="102">
        <f t="shared" si="6"/>
        <v>0.7875</v>
      </c>
      <c r="L25" s="102">
        <f t="shared" si="6"/>
        <v>0.6869009585</v>
      </c>
      <c r="M25" s="445">
        <f t="shared" si="6"/>
        <v>0.9147727273</v>
      </c>
      <c r="N25" s="1020">
        <f t="shared" si="6"/>
        <v>0.6883116883</v>
      </c>
      <c r="O25" s="102">
        <f t="shared" si="6"/>
        <v>0.834375</v>
      </c>
      <c r="P25" s="102">
        <f t="shared" si="6"/>
        <v>0.8396501458</v>
      </c>
      <c r="Q25" s="102">
        <f t="shared" si="6"/>
        <v>0.9528795812</v>
      </c>
      <c r="R25" s="102">
        <f t="shared" si="6"/>
        <v>0.8708240535</v>
      </c>
      <c r="S25" s="102">
        <f t="shared" si="6"/>
        <v>0.8839285714</v>
      </c>
      <c r="T25" s="102">
        <f t="shared" si="6"/>
        <v>0.9952718676</v>
      </c>
      <c r="U25" s="102">
        <f t="shared" si="6"/>
        <v>0.7392241379</v>
      </c>
      <c r="V25" s="102">
        <f t="shared" si="6"/>
        <v>0</v>
      </c>
      <c r="W25" s="102">
        <f t="shared" si="6"/>
        <v>0</v>
      </c>
      <c r="X25" s="102">
        <f t="shared" si="6"/>
        <v>0</v>
      </c>
      <c r="Y25" s="102">
        <f t="shared" si="6"/>
        <v>0</v>
      </c>
      <c r="Z25" s="102">
        <f t="shared" si="6"/>
        <v>0</v>
      </c>
      <c r="AA25" s="102">
        <f>IFERROR(AA18/AA7, 0)</f>
        <v>0</v>
      </c>
      <c r="AB25" s="102"/>
      <c r="AC25" s="102"/>
      <c r="AD25" s="102"/>
      <c r="AE25" s="102"/>
      <c r="AF25" s="102"/>
      <c r="AG25" s="102"/>
      <c r="AH25" s="102"/>
      <c r="AI25" s="102"/>
      <c r="AJ25" s="102"/>
      <c r="AK25" s="102"/>
      <c r="AL25" s="102"/>
      <c r="AM25" s="102"/>
      <c r="AN25" s="102"/>
      <c r="AO25" s="102"/>
    </row>
    <row r="26">
      <c r="A26" s="1021" t="s">
        <v>38</v>
      </c>
      <c r="B26" s="106">
        <f t="shared" ref="B26:H26" si="7">IFERROR(B12/B18, 0)</f>
        <v>0.1391304348</v>
      </c>
      <c r="C26" s="106">
        <f t="shared" si="7"/>
        <v>0.1017699115</v>
      </c>
      <c r="D26" s="106">
        <f t="shared" si="7"/>
        <v>0.04294478528</v>
      </c>
      <c r="E26" s="106">
        <f t="shared" si="7"/>
        <v>0.04301075269</v>
      </c>
      <c r="F26" s="106">
        <f t="shared" si="7"/>
        <v>0.07189542484</v>
      </c>
      <c r="G26" s="446">
        <f t="shared" si="7"/>
        <v>0.2</v>
      </c>
      <c r="H26" s="1022">
        <f t="shared" si="7"/>
        <v>0.09589041096</v>
      </c>
      <c r="J26" s="106">
        <f t="shared" ref="J26:AA26" si="8">IFERROR(J12/J18, 0)</f>
        <v>0.1635220126</v>
      </c>
      <c r="K26" s="106">
        <f t="shared" si="8"/>
        <v>0.07766990291</v>
      </c>
      <c r="L26" s="106">
        <f t="shared" si="8"/>
        <v>0.04964539007</v>
      </c>
      <c r="M26" s="446">
        <f t="shared" si="8"/>
        <v>0.1325301205</v>
      </c>
      <c r="N26" s="1023">
        <f t="shared" si="8"/>
        <v>0.1034482759</v>
      </c>
      <c r="O26" s="106">
        <f t="shared" si="8"/>
        <v>0.2601626016</v>
      </c>
      <c r="P26" s="106">
        <f t="shared" si="8"/>
        <v>0.1065088757</v>
      </c>
      <c r="Q26" s="106">
        <f t="shared" si="8"/>
        <v>0.3953488372</v>
      </c>
      <c r="R26" s="106">
        <f t="shared" si="8"/>
        <v>0.2585034014</v>
      </c>
      <c r="S26" s="106">
        <f t="shared" si="8"/>
        <v>0.1978021978</v>
      </c>
      <c r="T26" s="106">
        <f t="shared" si="8"/>
        <v>0.2643678161</v>
      </c>
      <c r="U26" s="106">
        <f t="shared" si="8"/>
        <v>0.1111111111</v>
      </c>
      <c r="V26" s="106">
        <f t="shared" si="8"/>
        <v>0</v>
      </c>
      <c r="W26" s="106">
        <f t="shared" si="8"/>
        <v>0</v>
      </c>
      <c r="X26" s="106">
        <f t="shared" si="8"/>
        <v>0</v>
      </c>
      <c r="Y26" s="106">
        <f t="shared" si="8"/>
        <v>0</v>
      </c>
      <c r="Z26" s="106">
        <f t="shared" si="8"/>
        <v>0</v>
      </c>
      <c r="AA26" s="106">
        <f t="shared" si="8"/>
        <v>0</v>
      </c>
      <c r="AB26" s="106"/>
      <c r="AC26" s="106"/>
      <c r="AD26" s="106"/>
      <c r="AE26" s="106"/>
      <c r="AF26" s="106"/>
      <c r="AG26" s="106"/>
      <c r="AH26" s="106"/>
      <c r="AI26" s="106"/>
      <c r="AJ26" s="106"/>
      <c r="AK26" s="106"/>
      <c r="AL26" s="106"/>
      <c r="AM26" s="106"/>
      <c r="AN26" s="106"/>
      <c r="AO26" s="106"/>
    </row>
    <row r="27">
      <c r="A27" s="1024" t="s">
        <v>39</v>
      </c>
      <c r="B27" s="110">
        <f t="shared" ref="B27:H27" si="9">IFERROR(B20/B18, 0)</f>
        <v>0.7260869565</v>
      </c>
      <c r="C27" s="110">
        <f t="shared" si="9"/>
        <v>0.7168141593</v>
      </c>
      <c r="D27" s="110">
        <f t="shared" si="9"/>
        <v>0.9018404908</v>
      </c>
      <c r="E27" s="110">
        <f t="shared" si="9"/>
        <v>0.7849462366</v>
      </c>
      <c r="F27" s="110">
        <f t="shared" si="9"/>
        <v>0.5882352941</v>
      </c>
      <c r="G27" s="447">
        <f t="shared" si="9"/>
        <v>0.8666666667</v>
      </c>
      <c r="H27" s="1025">
        <f t="shared" si="9"/>
        <v>0.9520547945</v>
      </c>
      <c r="J27" s="110">
        <f t="shared" ref="J27:AA27" si="10">IFERROR(J20/J18, 0)</f>
        <v>0.7924528302</v>
      </c>
      <c r="K27" s="110">
        <f t="shared" si="10"/>
        <v>0.7766990291</v>
      </c>
      <c r="L27" s="110">
        <f t="shared" si="10"/>
        <v>0.7730496454</v>
      </c>
      <c r="M27" s="447">
        <f t="shared" si="10"/>
        <v>0.6746987952</v>
      </c>
      <c r="N27" s="111">
        <f t="shared" si="10"/>
        <v>0.9655172414</v>
      </c>
      <c r="O27" s="110">
        <f t="shared" si="10"/>
        <v>0.9512195122</v>
      </c>
      <c r="P27" s="110">
        <f t="shared" si="10"/>
        <v>0.5029585799</v>
      </c>
      <c r="Q27" s="110">
        <f t="shared" si="10"/>
        <v>0.8139534884</v>
      </c>
      <c r="R27" s="110">
        <f t="shared" si="10"/>
        <v>0.8027210884</v>
      </c>
      <c r="S27" s="447">
        <f t="shared" si="10"/>
        <v>0.6538461538</v>
      </c>
      <c r="T27" s="447">
        <f t="shared" si="10"/>
        <v>0.7356321839</v>
      </c>
      <c r="U27" s="447">
        <f t="shared" si="10"/>
        <v>0.8148148148</v>
      </c>
      <c r="V27" s="110">
        <f t="shared" si="10"/>
        <v>0</v>
      </c>
      <c r="W27" s="110">
        <f t="shared" si="10"/>
        <v>0</v>
      </c>
      <c r="X27" s="110">
        <f t="shared" si="10"/>
        <v>0</v>
      </c>
      <c r="Y27" s="110">
        <f t="shared" si="10"/>
        <v>0</v>
      </c>
      <c r="Z27" s="110">
        <f t="shared" si="10"/>
        <v>0</v>
      </c>
      <c r="AA27" s="110">
        <f t="shared" si="10"/>
        <v>0</v>
      </c>
      <c r="AB27" s="110"/>
      <c r="AC27" s="110"/>
      <c r="AD27" s="110"/>
      <c r="AE27" s="110"/>
      <c r="AF27" s="110"/>
      <c r="AG27" s="110"/>
      <c r="AH27" s="110"/>
      <c r="AI27" s="110"/>
      <c r="AJ27" s="110"/>
      <c r="AK27" s="110"/>
      <c r="AL27" s="110"/>
      <c r="AM27" s="110"/>
      <c r="AN27" s="110"/>
      <c r="AO27" s="110"/>
    </row>
    <row r="28">
      <c r="A28" s="1026" t="s">
        <v>40</v>
      </c>
      <c r="B28" s="115">
        <f t="shared" ref="B28:H28" si="11">IFERROR(B22/B8, 0)</f>
        <v>0.6291208791</v>
      </c>
      <c r="C28" s="115">
        <f t="shared" si="11"/>
        <v>0.5615384615</v>
      </c>
      <c r="D28" s="115">
        <f t="shared" si="11"/>
        <v>0.4199475066</v>
      </c>
      <c r="E28" s="115">
        <f t="shared" si="11"/>
        <v>0.5246305419</v>
      </c>
      <c r="F28" s="115">
        <f t="shared" si="11"/>
        <v>0.4558823529</v>
      </c>
      <c r="G28" s="448">
        <f t="shared" si="11"/>
        <v>0.5107526882</v>
      </c>
      <c r="H28" s="1027">
        <f t="shared" si="11"/>
        <v>0.5731462926</v>
      </c>
      <c r="J28" s="115">
        <f t="shared" ref="J28:AA28" si="12">IFERROR(J22/J8, 0)</f>
        <v>0.5398457584</v>
      </c>
      <c r="K28" s="115">
        <f t="shared" si="12"/>
        <v>0.415</v>
      </c>
      <c r="L28" s="115">
        <f t="shared" si="12"/>
        <v>0.5367412141</v>
      </c>
      <c r="M28" s="448">
        <f t="shared" si="12"/>
        <v>0.5</v>
      </c>
      <c r="N28" s="116">
        <f t="shared" si="12"/>
        <v>0.5</v>
      </c>
      <c r="O28" s="115">
        <f t="shared" si="12"/>
        <v>0.51875</v>
      </c>
      <c r="P28" s="115">
        <f t="shared" si="12"/>
        <v>0.5189504373</v>
      </c>
      <c r="Q28" s="115">
        <f t="shared" si="12"/>
        <v>0.3560209424</v>
      </c>
      <c r="R28" s="115">
        <f t="shared" si="12"/>
        <v>0.4320712695</v>
      </c>
      <c r="S28" s="448">
        <f t="shared" si="12"/>
        <v>0.5133928571</v>
      </c>
      <c r="T28" s="448">
        <f t="shared" si="12"/>
        <v>0.390070922</v>
      </c>
      <c r="U28" s="448">
        <f t="shared" si="12"/>
        <v>0.6034482759</v>
      </c>
      <c r="V28" s="115">
        <f t="shared" si="12"/>
        <v>0</v>
      </c>
      <c r="W28" s="115">
        <f t="shared" si="12"/>
        <v>0</v>
      </c>
      <c r="X28" s="115">
        <f t="shared" si="12"/>
        <v>0</v>
      </c>
      <c r="Y28" s="115">
        <f t="shared" si="12"/>
        <v>0</v>
      </c>
      <c r="Z28" s="115">
        <f t="shared" si="12"/>
        <v>0</v>
      </c>
      <c r="AA28" s="115">
        <f t="shared" si="12"/>
        <v>0</v>
      </c>
      <c r="AB28" s="115"/>
      <c r="AC28" s="115"/>
      <c r="AD28" s="115"/>
      <c r="AE28" s="115"/>
      <c r="AF28" s="115"/>
      <c r="AG28" s="115"/>
      <c r="AH28" s="115"/>
      <c r="AI28" s="115"/>
      <c r="AJ28" s="115"/>
      <c r="AK28" s="115"/>
      <c r="AL28" s="115"/>
      <c r="AM28" s="115"/>
      <c r="AN28" s="115"/>
      <c r="AO28" s="115"/>
    </row>
    <row r="29">
      <c r="A29" s="1028" t="s">
        <v>1735</v>
      </c>
      <c r="B29" s="1029">
        <v>0.1615</v>
      </c>
      <c r="C29" s="1029">
        <v>0.1454</v>
      </c>
      <c r="D29" s="1029">
        <v>0.1513</v>
      </c>
      <c r="E29" s="1029">
        <v>0.0629</v>
      </c>
      <c r="F29" s="1029">
        <v>0.2452</v>
      </c>
      <c r="G29" s="1030">
        <v>0.0939</v>
      </c>
      <c r="H29" s="1031">
        <v>0.1832</v>
      </c>
      <c r="J29" s="1029">
        <v>0.0186</v>
      </c>
      <c r="K29" s="1029">
        <v>0.0064</v>
      </c>
      <c r="L29" s="1029">
        <v>0.1767</v>
      </c>
      <c r="M29" s="1030">
        <v>0.0165</v>
      </c>
      <c r="N29" s="1032">
        <v>0.1379</v>
      </c>
      <c r="O29" s="1029">
        <v>0.1867</v>
      </c>
      <c r="P29" s="1029">
        <v>0.1135</v>
      </c>
      <c r="Q29" s="1029">
        <v>0.0584</v>
      </c>
      <c r="R29" s="1029">
        <v>0.1205</v>
      </c>
      <c r="S29" s="1030">
        <v>0.145</v>
      </c>
      <c r="T29" s="1029">
        <v>0.0804</v>
      </c>
      <c r="U29" s="1032">
        <v>0.0787</v>
      </c>
      <c r="V29" s="1029">
        <v>0.0</v>
      </c>
      <c r="W29" s="1029">
        <v>0.0</v>
      </c>
      <c r="X29" s="1029">
        <v>0.0</v>
      </c>
      <c r="Y29" s="1029">
        <v>0.0</v>
      </c>
      <c r="Z29" s="1029">
        <v>0.0</v>
      </c>
      <c r="AA29" s="1029">
        <v>0.0</v>
      </c>
      <c r="AB29" s="1029"/>
      <c r="AC29" s="1029"/>
      <c r="AD29" s="1029"/>
      <c r="AE29" s="1029"/>
      <c r="AF29" s="1029"/>
      <c r="AG29" s="1029"/>
      <c r="AH29" s="1029"/>
      <c r="AI29" s="1029"/>
      <c r="AJ29" s="1029"/>
      <c r="AK29" s="1029"/>
      <c r="AL29" s="1029"/>
      <c r="AM29" s="1029"/>
      <c r="AN29" s="1029"/>
      <c r="AO29" s="1029"/>
    </row>
    <row r="30" hidden="1">
      <c r="A30" s="1033" t="s">
        <v>41</v>
      </c>
      <c r="B30" s="118"/>
      <c r="C30" s="119"/>
      <c r="D30" s="119"/>
      <c r="E30" s="119"/>
      <c r="F30" s="119"/>
      <c r="G30" s="449"/>
      <c r="H30" s="1034"/>
      <c r="J30" s="119"/>
      <c r="K30" s="119"/>
      <c r="L30" s="119"/>
      <c r="M30" s="449"/>
      <c r="N30" s="120"/>
      <c r="O30" s="119"/>
      <c r="P30" s="119"/>
      <c r="Q30" s="119"/>
      <c r="R30" s="119"/>
      <c r="S30" s="449"/>
      <c r="T30" s="119"/>
      <c r="U30" s="120"/>
      <c r="V30" s="119"/>
      <c r="W30" s="119"/>
      <c r="X30" s="119"/>
      <c r="Y30" s="119"/>
      <c r="Z30" s="119"/>
      <c r="AA30" s="119"/>
      <c r="AB30" s="119"/>
      <c r="AC30" s="119"/>
      <c r="AD30" s="119"/>
      <c r="AE30" s="119"/>
      <c r="AF30" s="119"/>
      <c r="AG30" s="119"/>
      <c r="AH30" s="119"/>
      <c r="AI30" s="119"/>
      <c r="AJ30" s="119"/>
      <c r="AK30" s="119"/>
      <c r="AL30" s="119"/>
      <c r="AM30" s="119"/>
      <c r="AN30" s="119"/>
      <c r="AO30" s="119"/>
    </row>
    <row r="31">
      <c r="A31" s="184" t="s">
        <v>141</v>
      </c>
      <c r="B31" s="240"/>
      <c r="C31" s="240"/>
      <c r="D31" s="240"/>
      <c r="E31" s="240"/>
      <c r="F31" s="240"/>
      <c r="G31" s="240"/>
      <c r="H31" s="240"/>
      <c r="I31" s="240"/>
      <c r="J31" s="240"/>
      <c r="K31" s="240"/>
      <c r="L31" s="240"/>
      <c r="M31" s="240"/>
      <c r="N31" s="185">
        <f t="shared" ref="N31:AA31" si="13">N80/N8</f>
        <v>0</v>
      </c>
      <c r="O31" s="185">
        <f t="shared" si="13"/>
        <v>0</v>
      </c>
      <c r="P31" s="185">
        <f t="shared" si="13"/>
        <v>0</v>
      </c>
      <c r="Q31" s="185">
        <f t="shared" si="13"/>
        <v>0</v>
      </c>
      <c r="R31" s="185">
        <f t="shared" si="13"/>
        <v>0</v>
      </c>
      <c r="S31" s="185">
        <f t="shared" si="13"/>
        <v>0</v>
      </c>
      <c r="T31" s="185">
        <f t="shared" si="13"/>
        <v>0</v>
      </c>
      <c r="U31" s="185">
        <f t="shared" si="13"/>
        <v>0</v>
      </c>
      <c r="V31" s="185" t="str">
        <f t="shared" si="13"/>
        <v>#DIV/0!</v>
      </c>
      <c r="W31" s="185" t="str">
        <f t="shared" si="13"/>
        <v>#DIV/0!</v>
      </c>
      <c r="X31" s="185" t="str">
        <f t="shared" si="13"/>
        <v>#DIV/0!</v>
      </c>
      <c r="Y31" s="185" t="str">
        <f t="shared" si="13"/>
        <v>#DIV/0!</v>
      </c>
      <c r="Z31" s="185" t="str">
        <f t="shared" si="13"/>
        <v>#DIV/0!</v>
      </c>
      <c r="AA31" s="185" t="str">
        <f t="shared" si="13"/>
        <v>#DIV/0!</v>
      </c>
      <c r="AB31" s="185"/>
      <c r="AC31" s="186"/>
      <c r="AD31" s="186"/>
      <c r="AE31" s="186"/>
      <c r="AF31" s="186"/>
      <c r="AG31" s="186"/>
      <c r="AH31" s="186"/>
      <c r="AI31" s="186"/>
      <c r="AJ31" s="186"/>
      <c r="AK31" s="186"/>
      <c r="AL31" s="186"/>
      <c r="AM31" s="186"/>
      <c r="AN31" s="186"/>
      <c r="AO31" s="186"/>
    </row>
    <row r="32">
      <c r="A32" s="1035" t="s">
        <v>42</v>
      </c>
      <c r="B32" s="505">
        <v>0.2579</v>
      </c>
      <c r="C32" s="505">
        <v>0.47</v>
      </c>
      <c r="D32" s="505">
        <v>0.34</v>
      </c>
      <c r="E32" s="505">
        <v>0.319</v>
      </c>
      <c r="F32" s="505">
        <v>0.3355</v>
      </c>
      <c r="G32" s="1036">
        <v>0.1473</v>
      </c>
      <c r="H32" s="1037">
        <v>0.3976</v>
      </c>
      <c r="J32" s="505">
        <v>0.3068</v>
      </c>
      <c r="K32" s="505">
        <v>0.3625</v>
      </c>
      <c r="L32" s="505">
        <v>0.3886</v>
      </c>
      <c r="M32" s="1036">
        <v>0.159</v>
      </c>
      <c r="N32" s="1038">
        <v>0.3146</v>
      </c>
      <c r="O32" s="505">
        <v>0.246</v>
      </c>
      <c r="P32" s="505">
        <v>0.3346</v>
      </c>
      <c r="Q32" s="505">
        <v>0.406</v>
      </c>
      <c r="R32" s="505">
        <v>0.3148</v>
      </c>
      <c r="S32" s="1036">
        <v>0.3694</v>
      </c>
      <c r="T32" s="505">
        <v>0.3617</v>
      </c>
      <c r="U32" s="1038">
        <v>0.3702</v>
      </c>
      <c r="V32" s="240">
        <v>0.0</v>
      </c>
      <c r="W32" s="240">
        <v>0.0</v>
      </c>
      <c r="X32" s="240">
        <v>0.0</v>
      </c>
      <c r="Y32" s="240">
        <v>0.0</v>
      </c>
      <c r="Z32" s="240">
        <v>0.0</v>
      </c>
      <c r="AA32" s="240">
        <v>0.0</v>
      </c>
      <c r="AB32" s="240"/>
      <c r="AC32" s="240"/>
      <c r="AD32" s="240"/>
      <c r="AE32" s="240"/>
      <c r="AF32" s="240"/>
      <c r="AG32" s="240"/>
      <c r="AH32" s="240"/>
      <c r="AI32" s="240"/>
      <c r="AJ32" s="240"/>
      <c r="AK32" s="240"/>
      <c r="AL32" s="240"/>
      <c r="AM32" s="240"/>
      <c r="AN32" s="240"/>
      <c r="AO32" s="240"/>
    </row>
    <row r="33">
      <c r="A33" s="1039" t="s">
        <v>43</v>
      </c>
      <c r="B33" s="191">
        <v>1.0</v>
      </c>
      <c r="C33" s="191">
        <v>1.0</v>
      </c>
      <c r="D33" s="191">
        <v>1.0</v>
      </c>
      <c r="E33" s="191">
        <v>1.0</v>
      </c>
      <c r="F33" s="191">
        <v>1.0</v>
      </c>
      <c r="G33" s="450">
        <v>1.0</v>
      </c>
      <c r="H33" s="1040">
        <v>1.0</v>
      </c>
      <c r="J33" s="191">
        <v>1.0</v>
      </c>
      <c r="K33" s="191">
        <v>1.0</v>
      </c>
      <c r="L33" s="191">
        <v>1.0</v>
      </c>
      <c r="M33" s="450">
        <v>1.0</v>
      </c>
      <c r="N33" s="1041">
        <v>1.0</v>
      </c>
      <c r="O33" s="191">
        <v>1.0</v>
      </c>
      <c r="P33" s="191">
        <v>1.0</v>
      </c>
      <c r="Q33" s="191">
        <v>1.0</v>
      </c>
      <c r="R33" s="191">
        <v>1.0</v>
      </c>
      <c r="S33" s="450">
        <v>1.0</v>
      </c>
      <c r="T33" s="191">
        <v>1.0</v>
      </c>
      <c r="U33" s="1041">
        <v>1.0</v>
      </c>
      <c r="V33" s="185">
        <v>0.0</v>
      </c>
      <c r="W33" s="185">
        <v>0.0</v>
      </c>
      <c r="X33" s="185">
        <v>0.0</v>
      </c>
      <c r="Y33" s="185">
        <v>0.0</v>
      </c>
      <c r="Z33" s="185">
        <v>0.0</v>
      </c>
      <c r="AA33" s="185">
        <v>0.0</v>
      </c>
      <c r="AB33" s="185"/>
      <c r="AC33" s="185"/>
      <c r="AD33" s="185"/>
      <c r="AE33" s="185"/>
      <c r="AF33" s="185"/>
      <c r="AG33" s="185"/>
      <c r="AH33" s="185"/>
      <c r="AI33" s="185"/>
      <c r="AJ33" s="185"/>
      <c r="AK33" s="185"/>
      <c r="AL33" s="185"/>
      <c r="AM33" s="185"/>
      <c r="AN33" s="185"/>
      <c r="AO33" s="185"/>
    </row>
    <row r="34">
      <c r="A34" s="1042" t="s">
        <v>44</v>
      </c>
      <c r="B34" s="730">
        <f t="shared" ref="B34:H34" si="14">(B24*0.7) + (IF(B32 &gt;= 30%, 1, 0)*0.15) + (B33*0.15)</f>
        <v>0.15</v>
      </c>
      <c r="C34" s="730">
        <f t="shared" si="14"/>
        <v>1</v>
      </c>
      <c r="D34" s="730">
        <f t="shared" si="14"/>
        <v>0.3</v>
      </c>
      <c r="E34" s="730">
        <f t="shared" si="14"/>
        <v>1</v>
      </c>
      <c r="F34" s="730">
        <f t="shared" si="14"/>
        <v>1</v>
      </c>
      <c r="G34" s="1043">
        <f t="shared" si="14"/>
        <v>0.85</v>
      </c>
      <c r="H34" s="1044">
        <f t="shared" si="14"/>
        <v>1</v>
      </c>
      <c r="I34" s="1045"/>
      <c r="J34" s="730">
        <f t="shared" ref="J34:AA34" si="15">(J24*0.7) + (IF(J32 &gt;= 30%, 1, 0)*0.15) + (J33*0.15)</f>
        <v>0.3</v>
      </c>
      <c r="K34" s="730">
        <f t="shared" si="15"/>
        <v>1</v>
      </c>
      <c r="L34" s="730">
        <f t="shared" si="15"/>
        <v>1</v>
      </c>
      <c r="M34" s="1043">
        <f t="shared" si="15"/>
        <v>0.15</v>
      </c>
      <c r="N34" s="1046">
        <f t="shared" si="15"/>
        <v>0.3</v>
      </c>
      <c r="O34" s="730">
        <f t="shared" si="15"/>
        <v>0.85</v>
      </c>
      <c r="P34" s="730">
        <f t="shared" si="15"/>
        <v>1</v>
      </c>
      <c r="Q34" s="730">
        <f t="shared" si="15"/>
        <v>1</v>
      </c>
      <c r="R34" s="730">
        <f t="shared" si="15"/>
        <v>1</v>
      </c>
      <c r="S34" s="1043">
        <f t="shared" si="15"/>
        <v>1</v>
      </c>
      <c r="T34" s="1043">
        <f t="shared" si="15"/>
        <v>1</v>
      </c>
      <c r="U34" s="1043">
        <f t="shared" si="15"/>
        <v>0.3</v>
      </c>
      <c r="V34" s="730">
        <f t="shared" si="15"/>
        <v>0</v>
      </c>
      <c r="W34" s="730">
        <f t="shared" si="15"/>
        <v>0</v>
      </c>
      <c r="X34" s="730">
        <f t="shared" si="15"/>
        <v>0</v>
      </c>
      <c r="Y34" s="730">
        <f t="shared" si="15"/>
        <v>0</v>
      </c>
      <c r="Z34" s="730">
        <f t="shared" si="15"/>
        <v>0</v>
      </c>
      <c r="AA34" s="730">
        <f t="shared" si="15"/>
        <v>0</v>
      </c>
      <c r="AB34" s="192"/>
      <c r="AC34" s="192"/>
      <c r="AD34" s="192"/>
      <c r="AE34" s="192"/>
      <c r="AF34" s="192"/>
      <c r="AG34" s="192"/>
      <c r="AH34" s="192"/>
      <c r="AI34" s="192"/>
      <c r="AJ34" s="192"/>
      <c r="AK34" s="192"/>
      <c r="AL34" s="192"/>
      <c r="AM34" s="192"/>
      <c r="AN34" s="192"/>
      <c r="AO34" s="192"/>
    </row>
    <row r="35">
      <c r="A35" s="193" t="s">
        <v>142</v>
      </c>
      <c r="B35" s="194"/>
      <c r="G35" s="458"/>
      <c r="H35" s="991"/>
      <c r="M35" s="458"/>
      <c r="N35" s="1046">
        <v>0.3</v>
      </c>
      <c r="O35" s="751">
        <v>1.0</v>
      </c>
      <c r="P35" s="730">
        <v>1.0</v>
      </c>
      <c r="Q35" s="730">
        <v>1.0</v>
      </c>
      <c r="R35" s="730">
        <v>1.0</v>
      </c>
      <c r="S35" s="1043">
        <v>1.0</v>
      </c>
      <c r="T35" s="1043">
        <v>1.0</v>
      </c>
      <c r="U35" s="31"/>
    </row>
    <row r="36">
      <c r="A36" s="126" t="s">
        <v>45</v>
      </c>
      <c r="B36" s="127"/>
      <c r="C36" s="128"/>
      <c r="D36" s="128"/>
      <c r="E36" s="128"/>
      <c r="F36" s="128"/>
      <c r="G36" s="878"/>
      <c r="H36" s="1047"/>
      <c r="J36" s="128"/>
      <c r="K36" s="128"/>
      <c r="L36" s="128"/>
      <c r="M36" s="878"/>
      <c r="N36" s="129"/>
      <c r="O36" s="128"/>
      <c r="P36" s="128"/>
      <c r="Q36" s="128"/>
      <c r="R36" s="128"/>
      <c r="S36" s="878"/>
      <c r="T36" s="128"/>
      <c r="U36" s="129"/>
      <c r="V36" s="128"/>
      <c r="W36" s="128"/>
      <c r="X36" s="128"/>
      <c r="Y36" s="128"/>
      <c r="Z36" s="128"/>
      <c r="AA36" s="128"/>
      <c r="AB36" s="128"/>
      <c r="AC36" s="128"/>
      <c r="AD36" s="128"/>
      <c r="AE36" s="128"/>
      <c r="AF36" s="128"/>
      <c r="AG36" s="128"/>
      <c r="AH36" s="128"/>
      <c r="AI36" s="128"/>
      <c r="AJ36" s="128"/>
      <c r="AK36" s="128"/>
      <c r="AL36" s="128"/>
      <c r="AM36" s="128"/>
      <c r="AN36" s="128"/>
      <c r="AO36" s="128"/>
    </row>
    <row r="37">
      <c r="A37" s="196" t="s">
        <v>1736</v>
      </c>
      <c r="B37" s="132">
        <v>17.0</v>
      </c>
      <c r="C37" s="133">
        <v>19.0</v>
      </c>
      <c r="D37" s="133">
        <v>17.5</v>
      </c>
      <c r="E37" s="133">
        <v>19.0</v>
      </c>
      <c r="F37" s="133">
        <v>13.0</v>
      </c>
      <c r="G37" s="288">
        <v>7.0</v>
      </c>
      <c r="H37" s="1048">
        <v>28.0</v>
      </c>
      <c r="J37" s="133">
        <v>16.5</v>
      </c>
      <c r="K37" s="133">
        <v>18.5</v>
      </c>
      <c r="L37" s="133">
        <v>15.5</v>
      </c>
      <c r="M37" s="288">
        <v>10.5</v>
      </c>
      <c r="N37" s="134">
        <v>3.5</v>
      </c>
      <c r="O37" s="133">
        <v>12.0</v>
      </c>
      <c r="P37" s="133">
        <v>15.5</v>
      </c>
      <c r="Q37" s="133">
        <v>13.5</v>
      </c>
      <c r="R37" s="133">
        <v>49.0</v>
      </c>
      <c r="S37" s="288">
        <v>67.0</v>
      </c>
      <c r="T37" s="133">
        <v>60.0</v>
      </c>
      <c r="U37" s="134">
        <v>63.0</v>
      </c>
      <c r="V37" s="133"/>
      <c r="W37" s="133"/>
      <c r="X37" s="133"/>
      <c r="Y37" s="133"/>
      <c r="Z37" s="133"/>
      <c r="AA37" s="133"/>
      <c r="AB37" s="133"/>
      <c r="AC37" s="133"/>
      <c r="AD37" s="133"/>
      <c r="AE37" s="133"/>
      <c r="AF37" s="133"/>
      <c r="AG37" s="133"/>
      <c r="AH37" s="133"/>
      <c r="AI37" s="133"/>
      <c r="AJ37" s="133"/>
      <c r="AK37" s="133"/>
      <c r="AL37" s="133"/>
      <c r="AM37" s="133"/>
      <c r="AN37" s="133"/>
      <c r="AO37" s="133"/>
    </row>
    <row r="38">
      <c r="A38" s="196" t="s">
        <v>1248</v>
      </c>
      <c r="B38" s="132">
        <v>16.0</v>
      </c>
      <c r="C38" s="133">
        <v>1.0</v>
      </c>
      <c r="D38" s="133">
        <v>14.0</v>
      </c>
      <c r="E38" s="133">
        <v>13.5</v>
      </c>
      <c r="F38" s="133">
        <v>10.0</v>
      </c>
      <c r="G38" s="288">
        <v>9.0</v>
      </c>
      <c r="H38" s="1048">
        <v>23.5</v>
      </c>
      <c r="J38" s="133">
        <v>15.0</v>
      </c>
      <c r="K38" s="133">
        <v>19.5</v>
      </c>
      <c r="L38" s="133">
        <v>16.5</v>
      </c>
      <c r="M38" s="288">
        <v>10.5</v>
      </c>
      <c r="N38" s="134">
        <v>16.0</v>
      </c>
      <c r="O38" s="133">
        <v>16.5</v>
      </c>
      <c r="P38" s="133">
        <v>6.0</v>
      </c>
      <c r="Q38" s="133">
        <v>6.0</v>
      </c>
      <c r="R38" s="133">
        <v>16.0</v>
      </c>
      <c r="S38" s="288">
        <v>21.0</v>
      </c>
      <c r="T38" s="133">
        <v>40.0</v>
      </c>
      <c r="U38" s="134">
        <v>36.0</v>
      </c>
      <c r="V38" s="133"/>
      <c r="W38" s="133"/>
      <c r="X38" s="133"/>
      <c r="Y38" s="133"/>
      <c r="Z38" s="133"/>
      <c r="AA38" s="133"/>
      <c r="AB38" s="133"/>
      <c r="AC38" s="133"/>
      <c r="AD38" s="133"/>
      <c r="AE38" s="133"/>
      <c r="AF38" s="133"/>
      <c r="AG38" s="133"/>
      <c r="AH38" s="133"/>
      <c r="AI38" s="133"/>
      <c r="AJ38" s="133"/>
      <c r="AK38" s="133"/>
      <c r="AL38" s="133"/>
      <c r="AM38" s="133"/>
      <c r="AN38" s="133"/>
      <c r="AO38" s="133"/>
    </row>
    <row r="39" hidden="1">
      <c r="A39" s="196" t="s">
        <v>1177</v>
      </c>
      <c r="B39" s="132">
        <v>15.5</v>
      </c>
      <c r="C39" s="133">
        <v>17.5</v>
      </c>
      <c r="D39" s="133">
        <v>17.0</v>
      </c>
      <c r="E39" s="133">
        <v>18.5</v>
      </c>
      <c r="F39" s="133">
        <v>7.0</v>
      </c>
      <c r="G39" s="288">
        <v>6.5</v>
      </c>
      <c r="H39" s="1048">
        <v>23.5</v>
      </c>
      <c r="J39" s="133">
        <v>17.5</v>
      </c>
      <c r="K39" s="133">
        <v>16.0</v>
      </c>
      <c r="L39" s="133">
        <v>0.0</v>
      </c>
      <c r="M39" s="288">
        <v>8.5</v>
      </c>
      <c r="N39" s="134">
        <v>0.0</v>
      </c>
      <c r="O39" s="133">
        <v>17.0</v>
      </c>
      <c r="P39" s="133">
        <v>14.0</v>
      </c>
      <c r="Q39" s="133"/>
      <c r="R39" s="133"/>
      <c r="S39" s="288"/>
      <c r="T39" s="133"/>
      <c r="U39" s="134"/>
      <c r="V39" s="133"/>
      <c r="W39" s="133"/>
      <c r="X39" s="133"/>
      <c r="Y39" s="133"/>
      <c r="Z39" s="133"/>
      <c r="AA39" s="133"/>
      <c r="AB39" s="133"/>
      <c r="AC39" s="133"/>
      <c r="AD39" s="133"/>
      <c r="AE39" s="133"/>
      <c r="AF39" s="133"/>
      <c r="AG39" s="133"/>
      <c r="AH39" s="133"/>
      <c r="AI39" s="133"/>
      <c r="AJ39" s="133"/>
      <c r="AK39" s="133"/>
      <c r="AL39" s="133"/>
      <c r="AM39" s="133"/>
      <c r="AN39" s="133"/>
      <c r="AO39" s="133"/>
    </row>
    <row r="40" hidden="1">
      <c r="A40" s="196" t="s">
        <v>756</v>
      </c>
      <c r="B40" s="132">
        <v>14.0</v>
      </c>
      <c r="C40" s="133">
        <v>19.0</v>
      </c>
      <c r="D40" s="133">
        <v>14.5</v>
      </c>
      <c r="E40" s="133">
        <v>20.0</v>
      </c>
      <c r="F40" s="133">
        <v>18.5</v>
      </c>
      <c r="G40" s="288">
        <v>11.0</v>
      </c>
      <c r="H40" s="1048">
        <v>21.0</v>
      </c>
      <c r="J40" s="133">
        <v>14.0</v>
      </c>
      <c r="K40" s="133">
        <v>16.5</v>
      </c>
      <c r="L40" s="133">
        <v>18.0</v>
      </c>
      <c r="M40" s="288">
        <v>9.0</v>
      </c>
      <c r="N40" s="134">
        <v>13.5</v>
      </c>
      <c r="O40" s="133">
        <v>16.0</v>
      </c>
      <c r="P40" s="133">
        <v>20.5</v>
      </c>
      <c r="Q40" s="133">
        <v>12.0</v>
      </c>
      <c r="R40" s="133">
        <v>53.0</v>
      </c>
      <c r="S40" s="288">
        <v>51.0</v>
      </c>
      <c r="T40" s="133"/>
      <c r="U40" s="134"/>
      <c r="V40" s="133"/>
      <c r="W40" s="133"/>
      <c r="X40" s="133"/>
      <c r="Y40" s="133"/>
      <c r="Z40" s="133"/>
      <c r="AA40" s="133"/>
      <c r="AB40" s="133"/>
      <c r="AC40" s="133"/>
      <c r="AD40" s="133"/>
      <c r="AE40" s="133"/>
      <c r="AF40" s="133"/>
      <c r="AG40" s="133"/>
      <c r="AH40" s="133"/>
      <c r="AI40" s="133"/>
      <c r="AJ40" s="133"/>
      <c r="AK40" s="133"/>
      <c r="AL40" s="133"/>
      <c r="AM40" s="133"/>
      <c r="AN40" s="133"/>
      <c r="AO40" s="133"/>
    </row>
    <row r="41">
      <c r="A41" s="196" t="s">
        <v>1737</v>
      </c>
      <c r="B41" s="132">
        <v>15.0</v>
      </c>
      <c r="C41" s="133">
        <v>18.5</v>
      </c>
      <c r="D41" s="133">
        <v>14.5</v>
      </c>
      <c r="E41" s="133">
        <v>17.0</v>
      </c>
      <c r="F41" s="133">
        <v>15.0</v>
      </c>
      <c r="G41" s="288">
        <v>3.5</v>
      </c>
      <c r="H41" s="1048">
        <v>19.0</v>
      </c>
      <c r="J41" s="133">
        <v>16.0</v>
      </c>
      <c r="K41" s="133">
        <v>8.5</v>
      </c>
      <c r="L41" s="133">
        <v>15.0</v>
      </c>
      <c r="M41" s="288">
        <v>9.0</v>
      </c>
      <c r="N41" s="134">
        <v>15.0</v>
      </c>
      <c r="O41" s="133">
        <v>15.0</v>
      </c>
      <c r="P41" s="133">
        <v>17.5</v>
      </c>
      <c r="Q41" s="133">
        <v>12.0</v>
      </c>
      <c r="R41" s="133">
        <v>51.0</v>
      </c>
      <c r="S41" s="288">
        <v>71.0</v>
      </c>
      <c r="T41" s="133">
        <v>58.0</v>
      </c>
      <c r="U41" s="134">
        <v>63.0</v>
      </c>
      <c r="V41" s="133"/>
      <c r="W41" s="133"/>
      <c r="X41" s="133"/>
      <c r="Y41" s="133"/>
      <c r="Z41" s="133"/>
      <c r="AA41" s="133"/>
      <c r="AB41" s="133"/>
      <c r="AC41" s="133"/>
      <c r="AD41" s="133"/>
      <c r="AE41" s="133"/>
      <c r="AF41" s="133"/>
      <c r="AG41" s="133"/>
      <c r="AH41" s="133"/>
      <c r="AI41" s="133"/>
      <c r="AJ41" s="133"/>
      <c r="AK41" s="133"/>
      <c r="AL41" s="133"/>
      <c r="AM41" s="133"/>
      <c r="AN41" s="133"/>
      <c r="AO41" s="133"/>
    </row>
    <row r="42" hidden="1">
      <c r="A42" s="198" t="s">
        <v>1738</v>
      </c>
      <c r="B42" s="132"/>
      <c r="C42" s="133"/>
      <c r="D42" s="133"/>
      <c r="E42" s="133"/>
      <c r="F42" s="133"/>
      <c r="G42" s="288">
        <v>3.0</v>
      </c>
      <c r="H42" s="1048">
        <v>12.0</v>
      </c>
      <c r="J42" s="133">
        <v>13.5</v>
      </c>
      <c r="K42" s="133">
        <v>14.0</v>
      </c>
      <c r="L42" s="133">
        <v>9.5</v>
      </c>
      <c r="M42" s="288">
        <v>0.0</v>
      </c>
      <c r="N42" s="134">
        <v>13.0</v>
      </c>
      <c r="O42" s="133" t="s">
        <v>59</v>
      </c>
      <c r="P42" s="133" t="s">
        <v>59</v>
      </c>
      <c r="Q42" s="133" t="s">
        <v>59</v>
      </c>
      <c r="R42" s="133"/>
      <c r="S42" s="288"/>
      <c r="T42" s="133"/>
      <c r="U42" s="134"/>
      <c r="V42" s="133"/>
      <c r="W42" s="133"/>
      <c r="X42" s="133"/>
      <c r="Y42" s="133"/>
      <c r="Z42" s="133"/>
      <c r="AA42" s="133"/>
      <c r="AB42" s="133"/>
      <c r="AC42" s="133"/>
      <c r="AD42" s="133"/>
      <c r="AE42" s="133"/>
      <c r="AF42" s="133"/>
      <c r="AG42" s="133"/>
      <c r="AH42" s="133"/>
      <c r="AI42" s="133"/>
      <c r="AJ42" s="133"/>
      <c r="AK42" s="133"/>
      <c r="AL42" s="133"/>
      <c r="AM42" s="133"/>
      <c r="AN42" s="133"/>
      <c r="AO42" s="133"/>
    </row>
    <row r="43" ht="15.75" customHeight="1">
      <c r="A43" s="196" t="s">
        <v>1739</v>
      </c>
      <c r="B43" s="132">
        <v>21.5</v>
      </c>
      <c r="C43" s="133">
        <v>20.0</v>
      </c>
      <c r="D43" s="133">
        <v>17.0</v>
      </c>
      <c r="E43" s="133">
        <v>11.0</v>
      </c>
      <c r="F43" s="133">
        <v>12.5</v>
      </c>
      <c r="G43" s="288">
        <v>0.0</v>
      </c>
      <c r="H43" s="1048">
        <v>11.0</v>
      </c>
      <c r="J43" s="133">
        <v>11.0</v>
      </c>
      <c r="K43" s="133">
        <v>15.5</v>
      </c>
      <c r="L43" s="133">
        <v>15.0</v>
      </c>
      <c r="M43" s="288">
        <v>8.5</v>
      </c>
      <c r="N43" s="134">
        <v>14.0</v>
      </c>
      <c r="O43" s="133">
        <v>12.0</v>
      </c>
      <c r="P43" s="133">
        <v>15.0</v>
      </c>
      <c r="Q43" s="133">
        <v>13.0</v>
      </c>
      <c r="R43" s="133">
        <v>47.0</v>
      </c>
      <c r="S43" s="288">
        <v>52.0</v>
      </c>
      <c r="T43" s="133">
        <v>46.0</v>
      </c>
      <c r="U43" s="134">
        <v>48.0</v>
      </c>
      <c r="V43" s="130"/>
      <c r="W43" s="130"/>
      <c r="X43" s="130"/>
      <c r="Y43" s="130"/>
      <c r="Z43" s="130"/>
      <c r="AA43" s="130"/>
      <c r="AB43" s="130"/>
      <c r="AC43" s="130"/>
      <c r="AD43" s="130"/>
      <c r="AE43" s="130"/>
      <c r="AF43" s="130"/>
      <c r="AG43" s="130"/>
      <c r="AH43" s="130"/>
      <c r="AI43" s="130"/>
      <c r="AJ43" s="130"/>
      <c r="AK43" s="130"/>
      <c r="AL43" s="130"/>
      <c r="AM43" s="130"/>
      <c r="AN43" s="130"/>
      <c r="AO43" s="130"/>
    </row>
    <row r="44">
      <c r="A44" s="196" t="s">
        <v>1740</v>
      </c>
      <c r="B44" s="132">
        <v>19.0</v>
      </c>
      <c r="C44" s="133">
        <v>22.0</v>
      </c>
      <c r="D44" s="133">
        <v>16.0</v>
      </c>
      <c r="E44" s="133">
        <v>20.0</v>
      </c>
      <c r="F44" s="133">
        <v>18.0</v>
      </c>
      <c r="G44" s="288">
        <v>10.5</v>
      </c>
      <c r="H44" s="1048">
        <v>25.0</v>
      </c>
      <c r="J44" s="133">
        <v>14.0</v>
      </c>
      <c r="K44" s="133">
        <v>17.0</v>
      </c>
      <c r="L44" s="133">
        <v>16.0</v>
      </c>
      <c r="M44" s="288">
        <v>10.0</v>
      </c>
      <c r="N44" s="134">
        <v>14.0</v>
      </c>
      <c r="O44" s="133">
        <v>13.0</v>
      </c>
      <c r="P44" s="133">
        <v>13.5</v>
      </c>
      <c r="Q44" s="133">
        <v>7.5</v>
      </c>
      <c r="R44" s="133">
        <v>48.0</v>
      </c>
      <c r="S44" s="288"/>
      <c r="T44" s="133"/>
      <c r="U44" s="134"/>
      <c r="V44" s="133"/>
      <c r="W44" s="133"/>
      <c r="X44" s="133"/>
      <c r="Y44" s="133"/>
      <c r="Z44" s="133"/>
      <c r="AA44" s="133"/>
      <c r="AB44" s="133"/>
      <c r="AC44" s="133"/>
      <c r="AD44" s="133"/>
      <c r="AE44" s="133"/>
      <c r="AF44" s="133"/>
      <c r="AG44" s="133"/>
      <c r="AH44" s="133"/>
      <c r="AI44" s="133"/>
      <c r="AJ44" s="133"/>
      <c r="AK44" s="133"/>
      <c r="AL44" s="133"/>
      <c r="AM44" s="133"/>
      <c r="AN44" s="133"/>
      <c r="AO44" s="133"/>
    </row>
    <row r="45">
      <c r="A45" s="198" t="s">
        <v>1741</v>
      </c>
      <c r="B45" s="132"/>
      <c r="C45" s="133"/>
      <c r="D45" s="133"/>
      <c r="E45" s="133"/>
      <c r="F45" s="133"/>
      <c r="G45" s="288"/>
      <c r="H45" s="1048"/>
      <c r="I45" s="1048"/>
      <c r="J45" s="133"/>
      <c r="K45" s="133"/>
      <c r="L45" s="133"/>
      <c r="M45" s="288"/>
      <c r="N45" s="134"/>
      <c r="O45" s="133"/>
      <c r="P45" s="133"/>
      <c r="Q45" s="133"/>
      <c r="R45" s="133">
        <v>8.0</v>
      </c>
      <c r="S45" s="288">
        <v>31.0</v>
      </c>
      <c r="T45" s="133">
        <v>30.0</v>
      </c>
      <c r="U45" s="134">
        <v>40.0</v>
      </c>
      <c r="V45" s="133"/>
      <c r="W45" s="133"/>
      <c r="X45" s="133"/>
      <c r="Y45" s="133"/>
      <c r="Z45" s="133"/>
      <c r="AA45" s="133"/>
      <c r="AB45" s="133"/>
      <c r="AC45" s="133"/>
      <c r="AD45" s="133"/>
      <c r="AE45" s="133"/>
      <c r="AF45" s="133"/>
      <c r="AG45" s="133"/>
      <c r="AH45" s="133"/>
      <c r="AI45" s="133"/>
      <c r="AJ45" s="133"/>
      <c r="AK45" s="133"/>
      <c r="AL45" s="133"/>
      <c r="AM45" s="133"/>
      <c r="AN45" s="133"/>
      <c r="AO45" s="133"/>
    </row>
    <row r="46">
      <c r="A46" s="198" t="s">
        <v>1742</v>
      </c>
      <c r="B46" s="132"/>
      <c r="C46" s="133"/>
      <c r="D46" s="133"/>
      <c r="E46" s="133"/>
      <c r="F46" s="133"/>
      <c r="G46" s="288"/>
      <c r="H46" s="1048"/>
      <c r="I46" s="1048"/>
      <c r="J46" s="133"/>
      <c r="K46" s="133"/>
      <c r="L46" s="133"/>
      <c r="M46" s="288"/>
      <c r="N46" s="134"/>
      <c r="O46" s="133"/>
      <c r="P46" s="133"/>
      <c r="Q46" s="133"/>
      <c r="R46" s="133"/>
      <c r="S46" s="288">
        <v>22.0</v>
      </c>
      <c r="T46" s="133">
        <v>40.0</v>
      </c>
      <c r="U46" s="134">
        <v>50.0</v>
      </c>
      <c r="V46" s="133"/>
      <c r="W46" s="133"/>
      <c r="X46" s="133"/>
      <c r="Y46" s="133"/>
      <c r="Z46" s="133"/>
      <c r="AA46" s="133"/>
      <c r="AB46" s="133"/>
      <c r="AC46" s="133"/>
      <c r="AD46" s="133"/>
      <c r="AE46" s="133"/>
      <c r="AF46" s="133"/>
      <c r="AG46" s="133"/>
      <c r="AH46" s="133"/>
      <c r="AI46" s="133"/>
      <c r="AJ46" s="133"/>
      <c r="AK46" s="133"/>
      <c r="AL46" s="133"/>
      <c r="AM46" s="133"/>
      <c r="AN46" s="133"/>
      <c r="AO46" s="133"/>
    </row>
    <row r="47">
      <c r="A47" s="198" t="s">
        <v>1743</v>
      </c>
      <c r="B47" s="132"/>
      <c r="C47" s="133"/>
      <c r="D47" s="133"/>
      <c r="E47" s="133"/>
      <c r="F47" s="133"/>
      <c r="G47" s="288"/>
      <c r="H47" s="1048"/>
      <c r="I47" s="1048"/>
      <c r="J47" s="133"/>
      <c r="K47" s="133"/>
      <c r="L47" s="133"/>
      <c r="M47" s="288"/>
      <c r="N47" s="134"/>
      <c r="O47" s="133"/>
      <c r="P47" s="133"/>
      <c r="Q47" s="133"/>
      <c r="R47" s="133"/>
      <c r="S47" s="288"/>
      <c r="T47" s="133">
        <v>7.0</v>
      </c>
      <c r="U47" s="133">
        <v>25.0</v>
      </c>
      <c r="V47" s="133"/>
      <c r="W47" s="133"/>
      <c r="X47" s="133"/>
      <c r="Y47" s="133"/>
      <c r="Z47" s="133"/>
      <c r="AA47" s="133"/>
      <c r="AB47" s="133"/>
      <c r="AC47" s="133"/>
      <c r="AD47" s="133"/>
      <c r="AE47" s="133"/>
      <c r="AF47" s="133"/>
      <c r="AG47" s="133"/>
      <c r="AH47" s="133"/>
      <c r="AI47" s="133"/>
      <c r="AJ47" s="133"/>
      <c r="AK47" s="133"/>
      <c r="AL47" s="133"/>
      <c r="AM47" s="133"/>
      <c r="AN47" s="133"/>
      <c r="AO47" s="133"/>
    </row>
    <row r="48">
      <c r="A48" s="1049" t="s">
        <v>1744</v>
      </c>
      <c r="B48" s="316">
        <f t="shared" ref="B48:H48" si="16">SUM(B37:B44)</f>
        <v>118</v>
      </c>
      <c r="C48" s="316">
        <f t="shared" si="16"/>
        <v>117</v>
      </c>
      <c r="D48" s="316">
        <f t="shared" si="16"/>
        <v>110.5</v>
      </c>
      <c r="E48" s="316">
        <f t="shared" si="16"/>
        <v>119</v>
      </c>
      <c r="F48" s="316">
        <f t="shared" si="16"/>
        <v>94</v>
      </c>
      <c r="G48" s="1050">
        <f t="shared" si="16"/>
        <v>50.5</v>
      </c>
      <c r="H48" s="1051">
        <f t="shared" si="16"/>
        <v>163</v>
      </c>
      <c r="J48" s="316">
        <f t="shared" ref="J48:Q48" si="17">SUM(J37:J44)</f>
        <v>117.5</v>
      </c>
      <c r="K48" s="316">
        <f t="shared" si="17"/>
        <v>125.5</v>
      </c>
      <c r="L48" s="316">
        <f t="shared" si="17"/>
        <v>105.5</v>
      </c>
      <c r="M48" s="1050">
        <f t="shared" si="17"/>
        <v>66</v>
      </c>
      <c r="N48" s="1052">
        <f t="shared" si="17"/>
        <v>89</v>
      </c>
      <c r="O48" s="316">
        <f t="shared" si="17"/>
        <v>101.5</v>
      </c>
      <c r="P48" s="316">
        <f t="shared" si="17"/>
        <v>102</v>
      </c>
      <c r="Q48" s="316">
        <f t="shared" si="17"/>
        <v>64</v>
      </c>
      <c r="R48" s="316">
        <f>SUM(R37:R45)</f>
        <v>272</v>
      </c>
      <c r="S48" s="1050">
        <f>SUM(S37:S46)</f>
        <v>315</v>
      </c>
      <c r="T48" s="1050">
        <f t="shared" ref="T48:U48" si="18">SUM(T37:T47)</f>
        <v>281</v>
      </c>
      <c r="U48" s="1050">
        <f t="shared" si="18"/>
        <v>325</v>
      </c>
      <c r="V48" s="1050">
        <f t="shared" ref="V48:AA48" si="19">SUM(V37:V46)</f>
        <v>0</v>
      </c>
      <c r="W48" s="1050">
        <f t="shared" si="19"/>
        <v>0</v>
      </c>
      <c r="X48" s="1050">
        <f t="shared" si="19"/>
        <v>0</v>
      </c>
      <c r="Y48" s="1050">
        <f t="shared" si="19"/>
        <v>0</v>
      </c>
      <c r="Z48" s="1050">
        <f t="shared" si="19"/>
        <v>0</v>
      </c>
      <c r="AA48" s="1050">
        <f t="shared" si="19"/>
        <v>0</v>
      </c>
      <c r="AB48" s="316"/>
      <c r="AC48" s="316"/>
      <c r="AD48" s="316"/>
      <c r="AE48" s="316"/>
      <c r="AF48" s="316"/>
      <c r="AG48" s="316"/>
      <c r="AH48" s="316"/>
      <c r="AI48" s="316"/>
      <c r="AJ48" s="316"/>
      <c r="AK48" s="316"/>
      <c r="AL48" s="316"/>
      <c r="AM48" s="316"/>
      <c r="AN48" s="316"/>
      <c r="AO48" s="316"/>
    </row>
    <row r="49">
      <c r="A49" s="196" t="s">
        <v>1745</v>
      </c>
      <c r="B49" s="136">
        <v>18.0</v>
      </c>
      <c r="C49" s="133">
        <v>26.0</v>
      </c>
      <c r="D49" s="133">
        <v>29.0</v>
      </c>
      <c r="E49" s="133">
        <v>33.0</v>
      </c>
      <c r="F49" s="133">
        <v>26.0</v>
      </c>
      <c r="G49" s="288">
        <v>21.0</v>
      </c>
      <c r="H49" s="1048">
        <v>26.0</v>
      </c>
      <c r="J49" s="133">
        <v>19.0</v>
      </c>
      <c r="K49" s="133">
        <v>21.0</v>
      </c>
      <c r="L49" s="133">
        <v>0.0</v>
      </c>
      <c r="M49" s="288">
        <v>13.0</v>
      </c>
      <c r="N49" s="134">
        <v>18.0</v>
      </c>
      <c r="O49" s="133">
        <v>16.0</v>
      </c>
      <c r="P49" s="133">
        <v>19.0</v>
      </c>
      <c r="Q49" s="133">
        <v>10.0</v>
      </c>
      <c r="R49" s="133">
        <v>52.0</v>
      </c>
      <c r="S49" s="288">
        <v>55.0</v>
      </c>
      <c r="T49" s="133">
        <v>38.0</v>
      </c>
      <c r="U49" s="134">
        <v>33.0</v>
      </c>
      <c r="V49" s="133"/>
      <c r="W49" s="133"/>
      <c r="X49" s="133"/>
      <c r="Y49" s="133"/>
      <c r="Z49" s="133"/>
      <c r="AA49" s="133"/>
      <c r="AB49" s="133"/>
      <c r="AC49" s="133"/>
      <c r="AD49" s="133"/>
      <c r="AE49" s="133"/>
      <c r="AF49" s="133"/>
      <c r="AG49" s="133"/>
      <c r="AH49" s="133"/>
      <c r="AI49" s="133"/>
      <c r="AJ49" s="133"/>
      <c r="AK49" s="133"/>
      <c r="AL49" s="133"/>
      <c r="AM49" s="133"/>
      <c r="AN49" s="133"/>
      <c r="AO49" s="133"/>
    </row>
    <row r="50">
      <c r="A50" s="196" t="s">
        <v>1746</v>
      </c>
      <c r="B50" s="136">
        <v>21.0</v>
      </c>
      <c r="C50" s="133">
        <v>21.0</v>
      </c>
      <c r="D50" s="133">
        <v>21.0</v>
      </c>
      <c r="E50" s="133">
        <v>21.0</v>
      </c>
      <c r="F50" s="133">
        <v>26.0</v>
      </c>
      <c r="G50" s="288">
        <v>21.0</v>
      </c>
      <c r="H50" s="1048">
        <v>26.0</v>
      </c>
      <c r="J50" s="133">
        <v>19.0</v>
      </c>
      <c r="K50" s="133">
        <v>22.0</v>
      </c>
      <c r="L50" s="133">
        <v>23.0</v>
      </c>
      <c r="M50" s="288">
        <v>6.0</v>
      </c>
      <c r="N50" s="134">
        <v>18.0</v>
      </c>
      <c r="O50" s="133">
        <v>18.0</v>
      </c>
      <c r="P50" s="133">
        <v>21.0</v>
      </c>
      <c r="Q50" s="133">
        <v>13.0</v>
      </c>
      <c r="R50" s="133">
        <v>55.0</v>
      </c>
      <c r="S50" s="288">
        <v>55.0</v>
      </c>
      <c r="T50" s="133">
        <v>47.0</v>
      </c>
      <c r="U50" s="134">
        <v>34.0</v>
      </c>
      <c r="V50" s="133"/>
      <c r="W50" s="133"/>
      <c r="X50" s="133"/>
      <c r="Y50" s="133"/>
      <c r="Z50" s="133"/>
      <c r="AA50" s="133"/>
      <c r="AB50" s="133"/>
      <c r="AC50" s="133"/>
      <c r="AD50" s="133"/>
      <c r="AE50" s="133"/>
      <c r="AF50" s="133"/>
      <c r="AG50" s="133"/>
      <c r="AH50" s="133"/>
      <c r="AI50" s="133"/>
      <c r="AJ50" s="133"/>
      <c r="AK50" s="133"/>
      <c r="AL50" s="133"/>
      <c r="AM50" s="133"/>
      <c r="AN50" s="133"/>
      <c r="AO50" s="133"/>
    </row>
    <row r="51">
      <c r="A51" s="1049" t="s">
        <v>1747</v>
      </c>
      <c r="B51" s="316">
        <f t="shared" ref="B51:H51" si="20">SUM(B49:B50)</f>
        <v>39</v>
      </c>
      <c r="C51" s="316">
        <f t="shared" si="20"/>
        <v>47</v>
      </c>
      <c r="D51" s="316">
        <f t="shared" si="20"/>
        <v>50</v>
      </c>
      <c r="E51" s="316">
        <f t="shared" si="20"/>
        <v>54</v>
      </c>
      <c r="F51" s="316">
        <f t="shared" si="20"/>
        <v>52</v>
      </c>
      <c r="G51" s="1050">
        <f t="shared" si="20"/>
        <v>42</v>
      </c>
      <c r="H51" s="1051">
        <f t="shared" si="20"/>
        <v>52</v>
      </c>
      <c r="J51" s="316">
        <f t="shared" ref="J51:AA51" si="21">SUM(J49:J50)</f>
        <v>38</v>
      </c>
      <c r="K51" s="316">
        <f t="shared" si="21"/>
        <v>43</v>
      </c>
      <c r="L51" s="316">
        <f t="shared" si="21"/>
        <v>23</v>
      </c>
      <c r="M51" s="1050">
        <f t="shared" si="21"/>
        <v>19</v>
      </c>
      <c r="N51" s="1052">
        <f t="shared" si="21"/>
        <v>36</v>
      </c>
      <c r="O51" s="316">
        <f t="shared" si="21"/>
        <v>34</v>
      </c>
      <c r="P51" s="316">
        <f t="shared" si="21"/>
        <v>40</v>
      </c>
      <c r="Q51" s="316">
        <f t="shared" si="21"/>
        <v>23</v>
      </c>
      <c r="R51" s="316">
        <f t="shared" si="21"/>
        <v>107</v>
      </c>
      <c r="S51" s="1050">
        <f t="shared" si="21"/>
        <v>110</v>
      </c>
      <c r="T51" s="1050">
        <f t="shared" si="21"/>
        <v>85</v>
      </c>
      <c r="U51" s="1050">
        <f t="shared" si="21"/>
        <v>67</v>
      </c>
      <c r="V51" s="1050">
        <f t="shared" si="21"/>
        <v>0</v>
      </c>
      <c r="W51" s="1050">
        <f t="shared" si="21"/>
        <v>0</v>
      </c>
      <c r="X51" s="1050">
        <f t="shared" si="21"/>
        <v>0</v>
      </c>
      <c r="Y51" s="1050">
        <f t="shared" si="21"/>
        <v>0</v>
      </c>
      <c r="Z51" s="1050">
        <f t="shared" si="21"/>
        <v>0</v>
      </c>
      <c r="AA51" s="1050">
        <f t="shared" si="21"/>
        <v>0</v>
      </c>
      <c r="AB51" s="316"/>
      <c r="AC51" s="316"/>
      <c r="AD51" s="316"/>
      <c r="AE51" s="316"/>
      <c r="AF51" s="316"/>
      <c r="AG51" s="316"/>
      <c r="AH51" s="316"/>
      <c r="AI51" s="316"/>
      <c r="AJ51" s="316"/>
      <c r="AK51" s="316"/>
      <c r="AL51" s="316"/>
      <c r="AM51" s="316"/>
      <c r="AN51" s="316"/>
      <c r="AO51" s="316"/>
    </row>
    <row r="52">
      <c r="A52" s="198" t="s">
        <v>1748</v>
      </c>
      <c r="B52" s="132" t="s">
        <v>59</v>
      </c>
      <c r="C52" s="133" t="s">
        <v>59</v>
      </c>
      <c r="D52" s="133">
        <v>0.0</v>
      </c>
      <c r="E52" s="133">
        <v>1.0</v>
      </c>
      <c r="F52" s="133">
        <v>4.0</v>
      </c>
      <c r="G52" s="288">
        <v>0.0</v>
      </c>
      <c r="H52" s="1048">
        <v>5.0</v>
      </c>
      <c r="J52" s="133">
        <v>2.5</v>
      </c>
      <c r="K52" s="133">
        <v>4.5</v>
      </c>
      <c r="L52" s="133">
        <v>2.5</v>
      </c>
      <c r="M52" s="288">
        <v>1.0</v>
      </c>
      <c r="N52" s="134">
        <v>4.0</v>
      </c>
      <c r="O52" s="133">
        <v>4.0</v>
      </c>
      <c r="P52" s="133">
        <v>5.0</v>
      </c>
      <c r="Q52" s="133">
        <v>1.0</v>
      </c>
      <c r="R52" s="133">
        <v>8.0</v>
      </c>
      <c r="S52" s="288">
        <v>5.0</v>
      </c>
      <c r="T52" s="133">
        <v>8.0</v>
      </c>
      <c r="U52" s="134">
        <v>14.0</v>
      </c>
      <c r="V52" s="133"/>
      <c r="W52" s="133"/>
      <c r="X52" s="133"/>
      <c r="Y52" s="133"/>
      <c r="Z52" s="133"/>
      <c r="AA52" s="133"/>
      <c r="AB52" s="133"/>
      <c r="AC52" s="133"/>
      <c r="AD52" s="133"/>
      <c r="AE52" s="133"/>
      <c r="AF52" s="133"/>
      <c r="AG52" s="133"/>
      <c r="AH52" s="133"/>
      <c r="AI52" s="133"/>
      <c r="AJ52" s="133"/>
      <c r="AK52" s="133"/>
      <c r="AL52" s="133"/>
      <c r="AM52" s="133"/>
      <c r="AN52" s="133"/>
      <c r="AO52" s="133"/>
    </row>
    <row r="53">
      <c r="A53" s="196" t="s">
        <v>1749</v>
      </c>
      <c r="B53" s="132">
        <v>11.0</v>
      </c>
      <c r="C53" s="133">
        <v>6.0</v>
      </c>
      <c r="D53" s="133">
        <v>11.0</v>
      </c>
      <c r="E53" s="133">
        <v>3.0</v>
      </c>
      <c r="F53" s="133">
        <v>4.0</v>
      </c>
      <c r="G53" s="288">
        <v>3.0</v>
      </c>
      <c r="H53" s="1048">
        <v>9.5</v>
      </c>
      <c r="J53" s="133">
        <v>13.5</v>
      </c>
      <c r="K53" s="133">
        <v>12.0</v>
      </c>
      <c r="L53" s="133">
        <v>13.0</v>
      </c>
      <c r="M53" s="288">
        <v>0.0</v>
      </c>
      <c r="N53" s="134">
        <v>9.0</v>
      </c>
      <c r="O53" s="133">
        <v>2.0</v>
      </c>
      <c r="P53" s="133">
        <v>10.0</v>
      </c>
      <c r="Q53" s="133">
        <v>2.5</v>
      </c>
      <c r="R53" s="133">
        <v>21.0</v>
      </c>
      <c r="S53" s="288">
        <v>5.0</v>
      </c>
      <c r="T53" s="133">
        <v>19.0</v>
      </c>
      <c r="U53" s="134">
        <v>21.0</v>
      </c>
      <c r="V53" s="133"/>
      <c r="W53" s="133"/>
      <c r="X53" s="133"/>
      <c r="Y53" s="133"/>
      <c r="Z53" s="133"/>
      <c r="AA53" s="133"/>
      <c r="AB53" s="133"/>
      <c r="AC53" s="133"/>
      <c r="AD53" s="133"/>
      <c r="AE53" s="133"/>
      <c r="AF53" s="133"/>
      <c r="AG53" s="133"/>
      <c r="AH53" s="133"/>
      <c r="AI53" s="133"/>
      <c r="AJ53" s="133"/>
      <c r="AK53" s="133"/>
      <c r="AL53" s="133"/>
      <c r="AM53" s="133"/>
      <c r="AN53" s="133"/>
      <c r="AO53" s="133"/>
    </row>
    <row r="54">
      <c r="A54" s="196" t="s">
        <v>1750</v>
      </c>
      <c r="B54" s="132">
        <v>7.0</v>
      </c>
      <c r="C54" s="133">
        <v>14.0</v>
      </c>
      <c r="D54" s="133">
        <v>9.0</v>
      </c>
      <c r="E54" s="133">
        <v>16.0</v>
      </c>
      <c r="F54" s="133">
        <v>9.0</v>
      </c>
      <c r="G54" s="288">
        <v>0.0</v>
      </c>
      <c r="H54" s="1048">
        <v>11.0</v>
      </c>
      <c r="J54" s="133">
        <v>15.0</v>
      </c>
      <c r="K54" s="133">
        <v>13.0</v>
      </c>
      <c r="L54" s="133">
        <v>12.5</v>
      </c>
      <c r="M54" s="288">
        <v>2.0</v>
      </c>
      <c r="N54" s="134">
        <v>10.0</v>
      </c>
      <c r="O54" s="133">
        <v>11.5</v>
      </c>
      <c r="P54" s="133">
        <v>7.5</v>
      </c>
      <c r="Q54" s="133">
        <v>3.0</v>
      </c>
      <c r="R54" s="133">
        <v>23.0</v>
      </c>
      <c r="S54" s="288">
        <v>5.0</v>
      </c>
      <c r="T54" s="133">
        <v>12.0</v>
      </c>
      <c r="U54" s="134">
        <v>21.0</v>
      </c>
      <c r="V54" s="133"/>
      <c r="W54" s="133"/>
      <c r="X54" s="133"/>
      <c r="Y54" s="133"/>
      <c r="Z54" s="133"/>
      <c r="AA54" s="133"/>
      <c r="AB54" s="133"/>
      <c r="AC54" s="133"/>
      <c r="AD54" s="133"/>
      <c r="AE54" s="133"/>
      <c r="AF54" s="133"/>
      <c r="AG54" s="133"/>
      <c r="AH54" s="133"/>
      <c r="AI54" s="133"/>
      <c r="AJ54" s="133"/>
      <c r="AK54" s="133"/>
      <c r="AL54" s="133"/>
      <c r="AM54" s="133"/>
      <c r="AN54" s="133"/>
      <c r="AO54" s="133"/>
    </row>
    <row r="55">
      <c r="A55" s="196" t="s">
        <v>1751</v>
      </c>
      <c r="B55" s="132">
        <v>5.5</v>
      </c>
      <c r="C55" s="133">
        <v>7.0</v>
      </c>
      <c r="D55" s="133">
        <v>8.0</v>
      </c>
      <c r="E55" s="133">
        <v>5.0</v>
      </c>
      <c r="F55" s="133">
        <v>4.0</v>
      </c>
      <c r="G55" s="288">
        <v>0.5</v>
      </c>
      <c r="H55" s="1048">
        <v>9.0</v>
      </c>
      <c r="J55" s="133">
        <v>8.0</v>
      </c>
      <c r="K55" s="133">
        <v>2.0</v>
      </c>
      <c r="L55" s="133">
        <v>0.0</v>
      </c>
      <c r="M55" s="288">
        <v>0.0</v>
      </c>
      <c r="N55" s="134">
        <v>6.0</v>
      </c>
      <c r="O55" s="133">
        <v>7.0</v>
      </c>
      <c r="P55" s="133">
        <v>7.0</v>
      </c>
      <c r="Q55" s="133">
        <v>2.0</v>
      </c>
      <c r="R55" s="133">
        <v>18.0</v>
      </c>
      <c r="S55" s="288">
        <v>8.0</v>
      </c>
      <c r="T55" s="133">
        <v>18.0</v>
      </c>
      <c r="U55" s="134">
        <v>16.0</v>
      </c>
      <c r="V55" s="133"/>
      <c r="W55" s="133"/>
      <c r="X55" s="133"/>
      <c r="Y55" s="133"/>
      <c r="Z55" s="133"/>
      <c r="AA55" s="133"/>
      <c r="AB55" s="133"/>
      <c r="AC55" s="133"/>
      <c r="AD55" s="133"/>
      <c r="AE55" s="133"/>
      <c r="AF55" s="133"/>
      <c r="AG55" s="133"/>
      <c r="AH55" s="133"/>
      <c r="AI55" s="133"/>
      <c r="AJ55" s="133"/>
      <c r="AK55" s="133"/>
      <c r="AL55" s="133"/>
      <c r="AM55" s="133"/>
      <c r="AN55" s="133"/>
      <c r="AO55" s="133"/>
    </row>
    <row r="56">
      <c r="A56" s="1049" t="s">
        <v>1752</v>
      </c>
      <c r="B56" s="316">
        <f t="shared" ref="B56:D56" si="22">SUM(B53:B55)</f>
        <v>23.5</v>
      </c>
      <c r="C56" s="316">
        <f t="shared" si="22"/>
        <v>27</v>
      </c>
      <c r="D56" s="316">
        <f t="shared" si="22"/>
        <v>28</v>
      </c>
      <c r="E56" s="316">
        <f t="shared" ref="E56:F56" si="23">SUM(E52:E55)</f>
        <v>25</v>
      </c>
      <c r="F56" s="316">
        <f t="shared" si="23"/>
        <v>21</v>
      </c>
      <c r="G56" s="1050">
        <f>SUM(G53:G55)</f>
        <v>3.5</v>
      </c>
      <c r="H56" s="1051">
        <f>SUM(H52:H55)</f>
        <v>34.5</v>
      </c>
      <c r="J56" s="316">
        <f t="shared" ref="J56:W56" si="24">SUM(J52:J55)</f>
        <v>39</v>
      </c>
      <c r="K56" s="316">
        <f t="shared" si="24"/>
        <v>31.5</v>
      </c>
      <c r="L56" s="316">
        <f t="shared" si="24"/>
        <v>28</v>
      </c>
      <c r="M56" s="316">
        <f t="shared" si="24"/>
        <v>3</v>
      </c>
      <c r="N56" s="316">
        <f t="shared" si="24"/>
        <v>29</v>
      </c>
      <c r="O56" s="316">
        <f t="shared" si="24"/>
        <v>24.5</v>
      </c>
      <c r="P56" s="316">
        <f t="shared" si="24"/>
        <v>29.5</v>
      </c>
      <c r="Q56" s="316">
        <f t="shared" si="24"/>
        <v>8.5</v>
      </c>
      <c r="R56" s="316">
        <f t="shared" si="24"/>
        <v>70</v>
      </c>
      <c r="S56" s="316">
        <f t="shared" si="24"/>
        <v>23</v>
      </c>
      <c r="T56" s="316">
        <f t="shared" si="24"/>
        <v>57</v>
      </c>
      <c r="U56" s="316">
        <f t="shared" si="24"/>
        <v>72</v>
      </c>
      <c r="V56" s="316">
        <f t="shared" si="24"/>
        <v>0</v>
      </c>
      <c r="W56" s="316">
        <f t="shared" si="24"/>
        <v>0</v>
      </c>
      <c r="X56" s="316">
        <f t="shared" ref="X56:AA56" si="25">SUM(X53:X55)</f>
        <v>0</v>
      </c>
      <c r="Y56" s="316">
        <f t="shared" si="25"/>
        <v>0</v>
      </c>
      <c r="Z56" s="316">
        <f t="shared" si="25"/>
        <v>0</v>
      </c>
      <c r="AA56" s="316">
        <f t="shared" si="25"/>
        <v>0</v>
      </c>
      <c r="AB56" s="316"/>
      <c r="AC56" s="316"/>
      <c r="AD56" s="316"/>
      <c r="AE56" s="316"/>
      <c r="AF56" s="316"/>
      <c r="AG56" s="316"/>
      <c r="AH56" s="316"/>
      <c r="AI56" s="316"/>
      <c r="AJ56" s="316"/>
      <c r="AK56" s="316"/>
      <c r="AL56" s="316"/>
      <c r="AM56" s="316"/>
      <c r="AN56" s="316"/>
      <c r="AO56" s="316"/>
    </row>
    <row r="57">
      <c r="A57" s="1049" t="s">
        <v>1753</v>
      </c>
      <c r="B57" s="316"/>
      <c r="C57" s="316"/>
      <c r="D57" s="316"/>
      <c r="E57" s="316"/>
      <c r="F57" s="316"/>
      <c r="G57" s="1053">
        <v>9.0</v>
      </c>
      <c r="H57" s="1054">
        <v>33.0</v>
      </c>
      <c r="J57" s="317">
        <v>25.5</v>
      </c>
      <c r="K57" s="317">
        <v>35.0</v>
      </c>
      <c r="L57" s="317">
        <v>33.5</v>
      </c>
      <c r="M57" s="1053">
        <v>17.0</v>
      </c>
      <c r="N57" s="318">
        <v>30.5</v>
      </c>
      <c r="O57" s="317">
        <v>23.0</v>
      </c>
      <c r="P57" s="317">
        <v>30.0</v>
      </c>
      <c r="Q57" s="317">
        <v>15.0</v>
      </c>
      <c r="R57" s="317">
        <v>91.0</v>
      </c>
      <c r="S57" s="1053">
        <v>84.0</v>
      </c>
      <c r="T57" s="317">
        <v>43.0</v>
      </c>
      <c r="U57" s="318">
        <v>79.0</v>
      </c>
      <c r="V57" s="316"/>
      <c r="W57" s="316"/>
      <c r="X57" s="316"/>
      <c r="Y57" s="316"/>
      <c r="Z57" s="316"/>
      <c r="AA57" s="316"/>
      <c r="AB57" s="316"/>
      <c r="AC57" s="316"/>
      <c r="AD57" s="316"/>
      <c r="AE57" s="316"/>
      <c r="AF57" s="316"/>
      <c r="AG57" s="316"/>
      <c r="AH57" s="316"/>
      <c r="AI57" s="316"/>
      <c r="AJ57" s="316"/>
      <c r="AK57" s="316"/>
      <c r="AL57" s="316"/>
      <c r="AM57" s="316"/>
      <c r="AN57" s="316"/>
      <c r="AO57" s="316"/>
    </row>
    <row r="58" hidden="1">
      <c r="A58" s="126" t="s">
        <v>46</v>
      </c>
      <c r="B58" s="127"/>
      <c r="C58" s="128"/>
      <c r="D58" s="128"/>
      <c r="E58" s="128"/>
      <c r="F58" s="128"/>
      <c r="G58" s="878"/>
      <c r="H58" s="1047"/>
      <c r="J58" s="128"/>
      <c r="K58" s="128"/>
      <c r="L58" s="128"/>
      <c r="M58" s="878"/>
      <c r="N58" s="129"/>
      <c r="O58" s="128"/>
      <c r="P58" s="128"/>
      <c r="Q58" s="128"/>
      <c r="R58" s="128"/>
      <c r="S58" s="878"/>
      <c r="T58" s="128"/>
      <c r="U58" s="129"/>
      <c r="V58" s="128"/>
      <c r="W58" s="128"/>
      <c r="X58" s="128"/>
      <c r="Y58" s="128"/>
      <c r="Z58" s="128"/>
      <c r="AA58" s="128"/>
      <c r="AB58" s="128"/>
      <c r="AC58" s="128"/>
      <c r="AD58" s="128"/>
      <c r="AE58" s="128"/>
      <c r="AF58" s="128"/>
      <c r="AG58" s="128"/>
      <c r="AH58" s="128"/>
      <c r="AI58" s="128"/>
      <c r="AJ58" s="128"/>
      <c r="AK58" s="128"/>
      <c r="AL58" s="128"/>
      <c r="AM58" s="128"/>
      <c r="AN58" s="128"/>
      <c r="AO58" s="128"/>
    </row>
    <row r="59" hidden="1">
      <c r="A59" s="196" t="s">
        <v>1736</v>
      </c>
      <c r="B59" s="132">
        <v>24.0</v>
      </c>
      <c r="C59" s="133">
        <v>18.5</v>
      </c>
      <c r="D59" s="133">
        <v>18.5</v>
      </c>
      <c r="E59" s="133">
        <v>22.0</v>
      </c>
      <c r="F59" s="133">
        <v>16.0</v>
      </c>
      <c r="G59" s="288">
        <v>7.5</v>
      </c>
      <c r="H59" s="1048">
        <v>28.5</v>
      </c>
      <c r="J59" s="133">
        <v>4.5</v>
      </c>
      <c r="K59" s="133">
        <v>13.5</v>
      </c>
      <c r="L59" s="133">
        <v>18.5</v>
      </c>
      <c r="M59" s="288">
        <v>8.5</v>
      </c>
      <c r="N59" s="134">
        <v>1.5</v>
      </c>
      <c r="O59" s="133">
        <v>14.0</v>
      </c>
      <c r="P59" s="133">
        <v>12.5</v>
      </c>
      <c r="Q59" s="133">
        <v>13.5</v>
      </c>
      <c r="R59" s="133">
        <v>62.0</v>
      </c>
      <c r="S59" s="288">
        <v>69.0</v>
      </c>
      <c r="T59" s="133">
        <v>61.0</v>
      </c>
      <c r="U59" s="134">
        <v>66.0</v>
      </c>
      <c r="V59" s="133"/>
      <c r="W59" s="133"/>
      <c r="X59" s="133"/>
      <c r="Y59" s="133"/>
      <c r="Z59" s="133"/>
      <c r="AA59" s="133"/>
      <c r="AB59" s="133"/>
      <c r="AC59" s="133"/>
      <c r="AD59" s="133"/>
      <c r="AE59" s="133"/>
      <c r="AF59" s="133"/>
      <c r="AG59" s="133"/>
      <c r="AH59" s="133"/>
      <c r="AI59" s="133"/>
      <c r="AJ59" s="133"/>
      <c r="AK59" s="133"/>
      <c r="AL59" s="133"/>
      <c r="AM59" s="133"/>
      <c r="AN59" s="133"/>
      <c r="AO59" s="133"/>
    </row>
    <row r="60" hidden="1">
      <c r="A60" s="196" t="s">
        <v>1248</v>
      </c>
      <c r="B60" s="137">
        <v>16.0</v>
      </c>
      <c r="C60" s="133">
        <v>1.0</v>
      </c>
      <c r="D60" s="133">
        <v>14.5</v>
      </c>
      <c r="E60" s="133">
        <v>5.0</v>
      </c>
      <c r="F60" s="133">
        <v>13.0</v>
      </c>
      <c r="G60" s="288">
        <v>9.0</v>
      </c>
      <c r="H60" s="1048">
        <v>23.5</v>
      </c>
      <c r="J60" s="133">
        <v>15.0</v>
      </c>
      <c r="K60" s="133">
        <v>20.5</v>
      </c>
      <c r="L60" s="133">
        <v>20.0</v>
      </c>
      <c r="M60" s="288">
        <v>6.0</v>
      </c>
      <c r="N60" s="134">
        <v>11.0</v>
      </c>
      <c r="O60" s="133">
        <v>8.5</v>
      </c>
      <c r="P60" s="133">
        <v>3.0</v>
      </c>
      <c r="Q60" s="133">
        <v>7.0</v>
      </c>
      <c r="R60" s="133">
        <v>16.0</v>
      </c>
      <c r="S60" s="288">
        <v>0.0</v>
      </c>
      <c r="T60" s="133">
        <v>48.0</v>
      </c>
      <c r="U60" s="134">
        <v>38.0</v>
      </c>
      <c r="V60" s="130"/>
      <c r="W60" s="130"/>
      <c r="X60" s="130"/>
      <c r="Y60" s="130"/>
      <c r="Z60" s="130"/>
      <c r="AA60" s="130"/>
      <c r="AB60" s="130"/>
      <c r="AC60" s="130"/>
      <c r="AD60" s="130"/>
      <c r="AE60" s="130"/>
      <c r="AF60" s="130"/>
      <c r="AG60" s="130"/>
      <c r="AH60" s="130"/>
      <c r="AI60" s="130"/>
      <c r="AJ60" s="130"/>
      <c r="AK60" s="130"/>
      <c r="AL60" s="130"/>
      <c r="AM60" s="130"/>
      <c r="AN60" s="130"/>
      <c r="AO60" s="130"/>
    </row>
    <row r="61" hidden="1">
      <c r="A61" s="196" t="s">
        <v>1177</v>
      </c>
      <c r="B61" s="137">
        <v>19.5</v>
      </c>
      <c r="C61" s="133">
        <v>17.5</v>
      </c>
      <c r="D61" s="133">
        <v>17.5</v>
      </c>
      <c r="E61" s="133">
        <v>12.5</v>
      </c>
      <c r="F61" s="133">
        <v>0.0</v>
      </c>
      <c r="G61" s="288">
        <v>6.5</v>
      </c>
      <c r="H61" s="1048">
        <v>23.5</v>
      </c>
      <c r="J61" s="133">
        <v>12.5</v>
      </c>
      <c r="K61" s="133">
        <v>2.0</v>
      </c>
      <c r="L61" s="133">
        <v>0.0</v>
      </c>
      <c r="M61" s="288">
        <v>8.0</v>
      </c>
      <c r="N61" s="134">
        <v>2.5</v>
      </c>
      <c r="O61" s="133">
        <v>16.5</v>
      </c>
      <c r="P61" s="133">
        <v>3.5</v>
      </c>
      <c r="Q61" s="133"/>
      <c r="R61" s="133"/>
      <c r="S61" s="288"/>
      <c r="T61" s="133"/>
      <c r="U61" s="134"/>
      <c r="V61" s="133"/>
      <c r="W61" s="133"/>
      <c r="X61" s="133"/>
      <c r="Y61" s="133"/>
      <c r="Z61" s="133"/>
      <c r="AA61" s="133"/>
      <c r="AB61" s="133"/>
      <c r="AC61" s="133"/>
      <c r="AD61" s="133"/>
      <c r="AE61" s="133"/>
      <c r="AF61" s="133"/>
      <c r="AG61" s="133"/>
      <c r="AH61" s="133"/>
      <c r="AI61" s="133"/>
      <c r="AJ61" s="133"/>
      <c r="AK61" s="133"/>
      <c r="AL61" s="133"/>
      <c r="AM61" s="133"/>
      <c r="AN61" s="133"/>
      <c r="AO61" s="133"/>
    </row>
    <row r="62" hidden="1">
      <c r="A62" s="196" t="s">
        <v>756</v>
      </c>
      <c r="B62" s="137">
        <v>14.0</v>
      </c>
      <c r="C62" s="133">
        <v>19.5</v>
      </c>
      <c r="D62" s="133">
        <v>14.0</v>
      </c>
      <c r="E62" s="133">
        <v>22.5</v>
      </c>
      <c r="F62" s="133">
        <v>17.5</v>
      </c>
      <c r="G62" s="288">
        <v>8.0</v>
      </c>
      <c r="H62" s="1048">
        <v>21.0</v>
      </c>
      <c r="J62" s="133">
        <v>14.0</v>
      </c>
      <c r="K62" s="133">
        <v>16.5</v>
      </c>
      <c r="L62" s="133">
        <v>18.0</v>
      </c>
      <c r="M62" s="288">
        <v>9.0</v>
      </c>
      <c r="N62" s="134">
        <v>8.5</v>
      </c>
      <c r="O62" s="133">
        <v>11.0</v>
      </c>
      <c r="P62" s="133">
        <v>20.5</v>
      </c>
      <c r="Q62" s="133">
        <v>10.0</v>
      </c>
      <c r="R62" s="133">
        <v>58.0</v>
      </c>
      <c r="S62" s="288">
        <v>43.0</v>
      </c>
      <c r="T62" s="133"/>
      <c r="U62" s="134"/>
      <c r="V62" s="133"/>
      <c r="W62" s="133"/>
      <c r="X62" s="133"/>
      <c r="Y62" s="133"/>
      <c r="Z62" s="133"/>
      <c r="AA62" s="133"/>
      <c r="AB62" s="133"/>
      <c r="AC62" s="133"/>
      <c r="AD62" s="133"/>
      <c r="AE62" s="133"/>
      <c r="AF62" s="133"/>
      <c r="AG62" s="133"/>
      <c r="AH62" s="133"/>
      <c r="AI62" s="133"/>
      <c r="AJ62" s="133"/>
      <c r="AK62" s="133"/>
      <c r="AL62" s="133"/>
      <c r="AM62" s="133"/>
      <c r="AN62" s="133"/>
      <c r="AO62" s="133"/>
    </row>
    <row r="63" hidden="1">
      <c r="A63" s="198" t="s">
        <v>1738</v>
      </c>
      <c r="B63" s="137"/>
      <c r="C63" s="133"/>
      <c r="D63" s="133"/>
      <c r="E63" s="133"/>
      <c r="F63" s="133"/>
      <c r="G63" s="288">
        <v>3.0</v>
      </c>
      <c r="H63" s="1048">
        <v>12.0</v>
      </c>
      <c r="J63" s="133">
        <v>10.5</v>
      </c>
      <c r="K63" s="133">
        <v>4.5</v>
      </c>
      <c r="L63" s="133">
        <v>0.5</v>
      </c>
      <c r="M63" s="288">
        <v>0.0</v>
      </c>
      <c r="N63" s="134">
        <v>7.0</v>
      </c>
      <c r="O63" s="133" t="s">
        <v>59</v>
      </c>
      <c r="P63" s="133" t="s">
        <v>59</v>
      </c>
      <c r="Q63" s="133"/>
      <c r="R63" s="133"/>
      <c r="S63" s="288"/>
      <c r="T63" s="133"/>
      <c r="U63" s="134"/>
      <c r="V63" s="133"/>
      <c r="W63" s="133"/>
      <c r="X63" s="133"/>
      <c r="Y63" s="133"/>
      <c r="Z63" s="133"/>
      <c r="AA63" s="133"/>
      <c r="AB63" s="133"/>
      <c r="AC63" s="133"/>
      <c r="AD63" s="133"/>
      <c r="AE63" s="133"/>
      <c r="AF63" s="133"/>
      <c r="AG63" s="133"/>
      <c r="AH63" s="133"/>
      <c r="AI63" s="133"/>
      <c r="AJ63" s="133"/>
      <c r="AK63" s="133"/>
      <c r="AL63" s="133"/>
      <c r="AM63" s="133"/>
      <c r="AN63" s="133"/>
      <c r="AO63" s="133"/>
    </row>
    <row r="64" hidden="1">
      <c r="A64" s="196" t="s">
        <v>1737</v>
      </c>
      <c r="B64" s="137">
        <v>11.5</v>
      </c>
      <c r="C64" s="133">
        <v>22.5</v>
      </c>
      <c r="D64" s="133">
        <v>14.5</v>
      </c>
      <c r="E64" s="133">
        <v>22.0</v>
      </c>
      <c r="F64" s="133">
        <v>23.0</v>
      </c>
      <c r="G64" s="288">
        <v>3.5</v>
      </c>
      <c r="H64" s="1048">
        <v>22.5</v>
      </c>
      <c r="J64" s="133">
        <v>16.5</v>
      </c>
      <c r="K64" s="133">
        <v>8.5</v>
      </c>
      <c r="L64" s="133">
        <v>15.5</v>
      </c>
      <c r="M64" s="288">
        <v>12.5</v>
      </c>
      <c r="N64" s="134">
        <v>17.0</v>
      </c>
      <c r="O64" s="133">
        <v>18.0</v>
      </c>
      <c r="P64" s="133">
        <v>20.5</v>
      </c>
      <c r="Q64" s="133">
        <v>13.0</v>
      </c>
      <c r="R64" s="133">
        <v>51.0</v>
      </c>
      <c r="S64" s="288">
        <v>63.0</v>
      </c>
      <c r="T64" s="133">
        <v>58.0</v>
      </c>
      <c r="U64" s="134">
        <v>63.0</v>
      </c>
      <c r="V64" s="133"/>
      <c r="W64" s="133"/>
      <c r="X64" s="133"/>
      <c r="Y64" s="133"/>
      <c r="Z64" s="133"/>
      <c r="AA64" s="133"/>
      <c r="AB64" s="133"/>
      <c r="AC64" s="133"/>
      <c r="AD64" s="133"/>
      <c r="AE64" s="133"/>
      <c r="AF64" s="133"/>
      <c r="AG64" s="133"/>
      <c r="AH64" s="133"/>
      <c r="AI64" s="133"/>
      <c r="AJ64" s="133"/>
      <c r="AK64" s="133"/>
      <c r="AL64" s="133"/>
      <c r="AM64" s="133"/>
      <c r="AN64" s="133"/>
      <c r="AO64" s="133"/>
    </row>
    <row r="65" hidden="1">
      <c r="A65" s="196" t="s">
        <v>1739</v>
      </c>
      <c r="B65" s="132">
        <v>21.5</v>
      </c>
      <c r="C65" s="133">
        <v>21.0</v>
      </c>
      <c r="D65" s="133">
        <v>17.0</v>
      </c>
      <c r="E65" s="133">
        <v>9.0</v>
      </c>
      <c r="F65" s="133">
        <v>9.5</v>
      </c>
      <c r="G65" s="288">
        <v>0.0</v>
      </c>
      <c r="H65" s="1048">
        <v>11.0</v>
      </c>
      <c r="J65" s="133">
        <v>11.0</v>
      </c>
      <c r="K65" s="133">
        <v>15.5</v>
      </c>
      <c r="L65" s="133">
        <v>4.0</v>
      </c>
      <c r="M65" s="288">
        <v>6.5</v>
      </c>
      <c r="N65" s="134">
        <v>1.5</v>
      </c>
      <c r="O65" s="133">
        <v>7.0</v>
      </c>
      <c r="P65" s="133">
        <v>15.0</v>
      </c>
      <c r="Q65" s="133">
        <v>16.5</v>
      </c>
      <c r="R65" s="133">
        <v>34.0</v>
      </c>
      <c r="S65" s="288">
        <v>31.0</v>
      </c>
      <c r="T65" s="133">
        <v>47.0</v>
      </c>
      <c r="U65" s="134">
        <v>32.0</v>
      </c>
      <c r="V65" s="130"/>
      <c r="W65" s="130"/>
      <c r="X65" s="130"/>
      <c r="Y65" s="130"/>
      <c r="Z65" s="130"/>
      <c r="AA65" s="130"/>
      <c r="AB65" s="130"/>
      <c r="AC65" s="130"/>
      <c r="AD65" s="130"/>
      <c r="AE65" s="130"/>
      <c r="AF65" s="130"/>
      <c r="AG65" s="130"/>
      <c r="AH65" s="130"/>
      <c r="AI65" s="130"/>
      <c r="AJ65" s="130"/>
      <c r="AK65" s="130"/>
      <c r="AL65" s="130"/>
      <c r="AM65" s="130"/>
      <c r="AN65" s="130"/>
      <c r="AO65" s="130"/>
    </row>
    <row r="66" hidden="1">
      <c r="A66" s="198" t="s">
        <v>1741</v>
      </c>
      <c r="B66" s="132"/>
      <c r="C66" s="133"/>
      <c r="D66" s="133"/>
      <c r="E66" s="133"/>
      <c r="F66" s="133"/>
      <c r="G66" s="288"/>
      <c r="H66" s="1048"/>
      <c r="I66" s="1048"/>
      <c r="J66" s="133"/>
      <c r="K66" s="133"/>
      <c r="L66" s="133"/>
      <c r="M66" s="288"/>
      <c r="N66" s="134"/>
      <c r="O66" s="133"/>
      <c r="P66" s="133"/>
      <c r="Q66" s="133"/>
      <c r="R66" s="133">
        <v>11.0</v>
      </c>
      <c r="S66" s="288">
        <v>31.0</v>
      </c>
      <c r="T66" s="133">
        <v>31.0</v>
      </c>
      <c r="U66" s="134">
        <v>11.0</v>
      </c>
      <c r="V66" s="130"/>
      <c r="W66" s="130"/>
      <c r="X66" s="130"/>
      <c r="Y66" s="130"/>
      <c r="Z66" s="130"/>
      <c r="AA66" s="130"/>
      <c r="AB66" s="130"/>
      <c r="AC66" s="130"/>
      <c r="AD66" s="130"/>
      <c r="AE66" s="130"/>
      <c r="AF66" s="130"/>
      <c r="AG66" s="130"/>
      <c r="AH66" s="130"/>
      <c r="AI66" s="130"/>
      <c r="AJ66" s="130"/>
      <c r="AK66" s="130"/>
      <c r="AL66" s="130"/>
      <c r="AM66" s="130"/>
      <c r="AN66" s="130"/>
      <c r="AO66" s="130"/>
    </row>
    <row r="67" hidden="1">
      <c r="A67" s="198" t="s">
        <v>1742</v>
      </c>
      <c r="B67" s="132"/>
      <c r="C67" s="133"/>
      <c r="D67" s="133"/>
      <c r="E67" s="133"/>
      <c r="F67" s="133"/>
      <c r="G67" s="288"/>
      <c r="H67" s="1048"/>
      <c r="I67" s="1048"/>
      <c r="J67" s="133"/>
      <c r="K67" s="133"/>
      <c r="L67" s="133"/>
      <c r="M67" s="288"/>
      <c r="N67" s="134"/>
      <c r="O67" s="133"/>
      <c r="P67" s="133"/>
      <c r="Q67" s="133"/>
      <c r="R67" s="133"/>
      <c r="S67" s="288">
        <v>23.0</v>
      </c>
      <c r="T67" s="133">
        <v>40.0</v>
      </c>
      <c r="U67" s="134">
        <v>40.0</v>
      </c>
      <c r="V67" s="130"/>
      <c r="W67" s="130"/>
      <c r="X67" s="130"/>
      <c r="Y67" s="130"/>
      <c r="Z67" s="130"/>
      <c r="AA67" s="130"/>
      <c r="AB67" s="130"/>
      <c r="AC67" s="130"/>
      <c r="AD67" s="130"/>
      <c r="AE67" s="130"/>
      <c r="AF67" s="130"/>
      <c r="AG67" s="130"/>
      <c r="AH67" s="130"/>
      <c r="AI67" s="130"/>
      <c r="AJ67" s="130"/>
      <c r="AK67" s="130"/>
      <c r="AL67" s="130"/>
      <c r="AM67" s="130"/>
      <c r="AN67" s="130"/>
      <c r="AO67" s="130"/>
    </row>
    <row r="68" hidden="1">
      <c r="A68" s="198" t="s">
        <v>1743</v>
      </c>
      <c r="B68" s="132"/>
      <c r="C68" s="133"/>
      <c r="D68" s="133"/>
      <c r="E68" s="133"/>
      <c r="F68" s="133"/>
      <c r="G68" s="288"/>
      <c r="H68" s="1048"/>
      <c r="I68" s="1048"/>
      <c r="J68" s="133"/>
      <c r="K68" s="133"/>
      <c r="L68" s="133"/>
      <c r="M68" s="288"/>
      <c r="N68" s="134"/>
      <c r="O68" s="133"/>
      <c r="P68" s="133"/>
      <c r="Q68" s="133"/>
      <c r="R68" s="133"/>
      <c r="S68" s="288"/>
      <c r="T68" s="133">
        <v>1.0</v>
      </c>
      <c r="U68" s="134">
        <v>17.0</v>
      </c>
      <c r="V68" s="130"/>
      <c r="W68" s="130"/>
      <c r="X68" s="130"/>
      <c r="Y68" s="130"/>
      <c r="Z68" s="130"/>
      <c r="AA68" s="130"/>
      <c r="AB68" s="130"/>
      <c r="AC68" s="130"/>
      <c r="AD68" s="130"/>
      <c r="AE68" s="130"/>
      <c r="AF68" s="130"/>
      <c r="AG68" s="130"/>
      <c r="AH68" s="130"/>
      <c r="AI68" s="130"/>
      <c r="AJ68" s="130"/>
      <c r="AK68" s="130"/>
      <c r="AL68" s="130"/>
      <c r="AM68" s="130"/>
      <c r="AN68" s="130"/>
      <c r="AO68" s="130"/>
    </row>
    <row r="69" hidden="1">
      <c r="A69" s="196" t="s">
        <v>1740</v>
      </c>
      <c r="B69" s="137">
        <v>19.0</v>
      </c>
      <c r="C69" s="133">
        <v>23.5</v>
      </c>
      <c r="D69" s="133">
        <v>16.0</v>
      </c>
      <c r="E69" s="133">
        <v>8.0</v>
      </c>
      <c r="F69" s="133">
        <v>12.0</v>
      </c>
      <c r="G69" s="288">
        <v>7.5</v>
      </c>
      <c r="H69" s="1048">
        <v>24.0</v>
      </c>
      <c r="J69" s="133">
        <v>5.5</v>
      </c>
      <c r="K69" s="133">
        <v>14.0</v>
      </c>
      <c r="L69" s="133">
        <v>15.0</v>
      </c>
      <c r="M69" s="288">
        <v>10.0</v>
      </c>
      <c r="N69" s="134">
        <v>14.0</v>
      </c>
      <c r="O69" s="133">
        <v>8.0</v>
      </c>
      <c r="P69" s="133">
        <v>17.5</v>
      </c>
      <c r="Q69" s="133">
        <v>7.5</v>
      </c>
      <c r="R69" s="133">
        <v>40.0</v>
      </c>
      <c r="S69" s="288"/>
      <c r="T69" s="133"/>
      <c r="U69" s="134"/>
      <c r="V69" s="133"/>
      <c r="W69" s="133"/>
      <c r="X69" s="133"/>
      <c r="Y69" s="133"/>
      <c r="Z69" s="133"/>
      <c r="AA69" s="133"/>
      <c r="AB69" s="133"/>
      <c r="AC69" s="133"/>
      <c r="AD69" s="133"/>
      <c r="AE69" s="133"/>
      <c r="AF69" s="133"/>
      <c r="AG69" s="133"/>
      <c r="AH69" s="133"/>
      <c r="AI69" s="133"/>
      <c r="AJ69" s="133"/>
      <c r="AK69" s="133"/>
      <c r="AL69" s="133"/>
      <c r="AM69" s="133"/>
      <c r="AN69" s="133"/>
      <c r="AO69" s="133"/>
    </row>
    <row r="70" hidden="1">
      <c r="A70" s="1049" t="s">
        <v>1754</v>
      </c>
      <c r="B70" s="316">
        <f t="shared" ref="B70:H70" si="26">SUM(B59:B69)</f>
        <v>125.5</v>
      </c>
      <c r="C70" s="316">
        <f t="shared" si="26"/>
        <v>123.5</v>
      </c>
      <c r="D70" s="316">
        <f t="shared" si="26"/>
        <v>112</v>
      </c>
      <c r="E70" s="316">
        <f t="shared" si="26"/>
        <v>101</v>
      </c>
      <c r="F70" s="316">
        <f t="shared" si="26"/>
        <v>91</v>
      </c>
      <c r="G70" s="1050">
        <f t="shared" si="26"/>
        <v>45</v>
      </c>
      <c r="H70" s="1051">
        <f t="shared" si="26"/>
        <v>166</v>
      </c>
      <c r="J70" s="316">
        <f t="shared" ref="J70:AA70" si="27">SUM(J59:J69)</f>
        <v>89.5</v>
      </c>
      <c r="K70" s="316">
        <f t="shared" si="27"/>
        <v>95</v>
      </c>
      <c r="L70" s="316">
        <f t="shared" si="27"/>
        <v>91.5</v>
      </c>
      <c r="M70" s="1050">
        <f t="shared" si="27"/>
        <v>60.5</v>
      </c>
      <c r="N70" s="1052">
        <f t="shared" si="27"/>
        <v>63</v>
      </c>
      <c r="O70" s="316">
        <f t="shared" si="27"/>
        <v>83</v>
      </c>
      <c r="P70" s="316">
        <f t="shared" si="27"/>
        <v>92.5</v>
      </c>
      <c r="Q70" s="316">
        <f t="shared" si="27"/>
        <v>67.5</v>
      </c>
      <c r="R70" s="316">
        <f t="shared" si="27"/>
        <v>272</v>
      </c>
      <c r="S70" s="1050">
        <f t="shared" si="27"/>
        <v>260</v>
      </c>
      <c r="T70" s="1050">
        <f t="shared" si="27"/>
        <v>286</v>
      </c>
      <c r="U70" s="1050">
        <f t="shared" si="27"/>
        <v>267</v>
      </c>
      <c r="V70" s="316">
        <f t="shared" si="27"/>
        <v>0</v>
      </c>
      <c r="W70" s="316">
        <f t="shared" si="27"/>
        <v>0</v>
      </c>
      <c r="X70" s="316">
        <f t="shared" si="27"/>
        <v>0</v>
      </c>
      <c r="Y70" s="316">
        <f t="shared" si="27"/>
        <v>0</v>
      </c>
      <c r="Z70" s="316">
        <f t="shared" si="27"/>
        <v>0</v>
      </c>
      <c r="AA70" s="316">
        <f t="shared" si="27"/>
        <v>0</v>
      </c>
      <c r="AB70" s="316"/>
      <c r="AC70" s="316"/>
      <c r="AD70" s="316"/>
      <c r="AE70" s="316"/>
      <c r="AF70" s="316"/>
      <c r="AG70" s="316"/>
      <c r="AH70" s="316"/>
      <c r="AI70" s="316"/>
      <c r="AJ70" s="316"/>
      <c r="AK70" s="316"/>
      <c r="AL70" s="316"/>
      <c r="AM70" s="316"/>
      <c r="AN70" s="316"/>
      <c r="AO70" s="316"/>
    </row>
    <row r="71" hidden="1">
      <c r="A71" s="196" t="s">
        <v>1745</v>
      </c>
      <c r="B71" s="137">
        <v>18.0</v>
      </c>
      <c r="C71" s="133">
        <v>26.0</v>
      </c>
      <c r="D71" s="133">
        <v>29.0</v>
      </c>
      <c r="E71" s="133">
        <v>33.0</v>
      </c>
      <c r="F71" s="133">
        <v>26.0</v>
      </c>
      <c r="G71" s="288">
        <v>21.0</v>
      </c>
      <c r="H71" s="1048">
        <v>18.0</v>
      </c>
      <c r="J71" s="133">
        <v>19.0</v>
      </c>
      <c r="K71" s="133">
        <v>21.0</v>
      </c>
      <c r="L71" s="133">
        <v>0.0</v>
      </c>
      <c r="M71" s="288">
        <v>13.0</v>
      </c>
      <c r="N71" s="134">
        <v>13.0</v>
      </c>
      <c r="O71" s="133">
        <v>16.0</v>
      </c>
      <c r="P71" s="133">
        <v>19.0</v>
      </c>
      <c r="Q71" s="133">
        <v>2.0</v>
      </c>
      <c r="R71" s="133">
        <v>52.0</v>
      </c>
      <c r="S71" s="288">
        <v>55.0</v>
      </c>
      <c r="T71" s="133">
        <v>34.0</v>
      </c>
      <c r="U71" s="134">
        <v>20.0</v>
      </c>
      <c r="V71" s="133"/>
      <c r="W71" s="133"/>
      <c r="X71" s="133"/>
      <c r="Y71" s="133"/>
      <c r="Z71" s="133"/>
      <c r="AA71" s="133"/>
      <c r="AB71" s="133"/>
      <c r="AC71" s="133"/>
      <c r="AD71" s="133"/>
      <c r="AE71" s="133"/>
      <c r="AF71" s="133"/>
      <c r="AG71" s="133"/>
      <c r="AH71" s="133"/>
      <c r="AI71" s="133"/>
      <c r="AJ71" s="133"/>
      <c r="AK71" s="133"/>
      <c r="AL71" s="133"/>
      <c r="AM71" s="133"/>
      <c r="AN71" s="133"/>
      <c r="AO71" s="133"/>
    </row>
    <row r="72" hidden="1">
      <c r="A72" s="196" t="s">
        <v>1746</v>
      </c>
      <c r="B72" s="413">
        <v>21.0</v>
      </c>
      <c r="C72" s="199">
        <v>21.0</v>
      </c>
      <c r="D72" s="199">
        <v>20.0</v>
      </c>
      <c r="E72" s="199">
        <v>21.0</v>
      </c>
      <c r="F72" s="199">
        <v>26.0</v>
      </c>
      <c r="G72" s="1055">
        <v>21.0</v>
      </c>
      <c r="H72" s="1056">
        <v>26.5</v>
      </c>
      <c r="J72" s="199">
        <v>19.0</v>
      </c>
      <c r="K72" s="199">
        <v>22.0</v>
      </c>
      <c r="L72" s="199">
        <v>10.0</v>
      </c>
      <c r="M72" s="1055">
        <v>6.0</v>
      </c>
      <c r="N72" s="414">
        <v>18.0</v>
      </c>
      <c r="O72" s="199">
        <v>18.0</v>
      </c>
      <c r="P72" s="199">
        <v>21.0</v>
      </c>
      <c r="Q72" s="199">
        <v>13.0</v>
      </c>
      <c r="R72" s="199">
        <v>55.0</v>
      </c>
      <c r="S72" s="1055">
        <v>55.0</v>
      </c>
      <c r="T72" s="199">
        <v>47.0</v>
      </c>
      <c r="U72" s="414">
        <v>26.0</v>
      </c>
    </row>
    <row r="73">
      <c r="A73" s="1049" t="s">
        <v>1755</v>
      </c>
      <c r="B73" s="316">
        <f t="shared" ref="B73:H73" si="28">SUM(B71:B72)</f>
        <v>39</v>
      </c>
      <c r="C73" s="316">
        <f t="shared" si="28"/>
        <v>47</v>
      </c>
      <c r="D73" s="316">
        <f t="shared" si="28"/>
        <v>49</v>
      </c>
      <c r="E73" s="316">
        <f t="shared" si="28"/>
        <v>54</v>
      </c>
      <c r="F73" s="316">
        <f t="shared" si="28"/>
        <v>52</v>
      </c>
      <c r="G73" s="1050">
        <f t="shared" si="28"/>
        <v>42</v>
      </c>
      <c r="H73" s="1051">
        <f t="shared" si="28"/>
        <v>44.5</v>
      </c>
      <c r="J73" s="316">
        <f t="shared" ref="J73:AA73" si="29">SUM(J71:J72)</f>
        <v>38</v>
      </c>
      <c r="K73" s="316">
        <f t="shared" si="29"/>
        <v>43</v>
      </c>
      <c r="L73" s="316">
        <f t="shared" si="29"/>
        <v>10</v>
      </c>
      <c r="M73" s="1050">
        <f t="shared" si="29"/>
        <v>19</v>
      </c>
      <c r="N73" s="1052">
        <f t="shared" si="29"/>
        <v>31</v>
      </c>
      <c r="O73" s="316">
        <f t="shared" si="29"/>
        <v>34</v>
      </c>
      <c r="P73" s="316">
        <f t="shared" si="29"/>
        <v>40</v>
      </c>
      <c r="Q73" s="316">
        <f t="shared" si="29"/>
        <v>15</v>
      </c>
      <c r="R73" s="316">
        <f t="shared" si="29"/>
        <v>107</v>
      </c>
      <c r="S73" s="1050">
        <f t="shared" si="29"/>
        <v>110</v>
      </c>
      <c r="T73" s="1050">
        <f t="shared" si="29"/>
        <v>81</v>
      </c>
      <c r="U73" s="1050">
        <f t="shared" si="29"/>
        <v>46</v>
      </c>
      <c r="V73" s="316">
        <f t="shared" si="29"/>
        <v>0</v>
      </c>
      <c r="W73" s="316">
        <f t="shared" si="29"/>
        <v>0</v>
      </c>
      <c r="X73" s="316">
        <f t="shared" si="29"/>
        <v>0</v>
      </c>
      <c r="Y73" s="316">
        <f t="shared" si="29"/>
        <v>0</v>
      </c>
      <c r="Z73" s="316">
        <f t="shared" si="29"/>
        <v>0</v>
      </c>
      <c r="AA73" s="316">
        <f t="shared" si="29"/>
        <v>0</v>
      </c>
      <c r="AB73" s="316"/>
      <c r="AC73" s="316"/>
      <c r="AD73" s="316"/>
      <c r="AE73" s="316"/>
      <c r="AF73" s="316"/>
      <c r="AG73" s="316"/>
      <c r="AH73" s="316"/>
      <c r="AI73" s="316"/>
      <c r="AJ73" s="316"/>
      <c r="AK73" s="316"/>
      <c r="AL73" s="316"/>
      <c r="AM73" s="316"/>
      <c r="AN73" s="316"/>
      <c r="AO73" s="316"/>
    </row>
    <row r="74">
      <c r="A74" s="198" t="s">
        <v>1748</v>
      </c>
      <c r="B74" s="413" t="s">
        <v>59</v>
      </c>
      <c r="C74" s="199" t="s">
        <v>59</v>
      </c>
      <c r="D74" s="199">
        <v>1.0</v>
      </c>
      <c r="E74" s="199">
        <v>1.0</v>
      </c>
      <c r="F74" s="199">
        <v>4.0</v>
      </c>
      <c r="G74" s="1055">
        <v>0.0</v>
      </c>
      <c r="H74" s="1056">
        <v>2.0</v>
      </c>
      <c r="J74" s="199">
        <v>2.5</v>
      </c>
      <c r="K74" s="199">
        <v>2.5</v>
      </c>
      <c r="L74" s="199">
        <v>2.5</v>
      </c>
      <c r="M74" s="1055">
        <v>1.0</v>
      </c>
      <c r="N74" s="414">
        <v>0.0</v>
      </c>
      <c r="O74" s="199">
        <v>1.0</v>
      </c>
      <c r="P74" s="199">
        <v>2.0</v>
      </c>
      <c r="Q74" s="199">
        <v>1.0</v>
      </c>
      <c r="R74" s="199">
        <v>5.0</v>
      </c>
      <c r="S74" s="1055">
        <v>5.0</v>
      </c>
      <c r="T74" s="199">
        <v>8.0</v>
      </c>
      <c r="U74" s="414">
        <v>14.0</v>
      </c>
    </row>
    <row r="75">
      <c r="A75" s="196" t="s">
        <v>1749</v>
      </c>
      <c r="B75" s="413">
        <v>11.0</v>
      </c>
      <c r="C75" s="199">
        <v>7.0</v>
      </c>
      <c r="D75" s="199">
        <v>13.0</v>
      </c>
      <c r="E75" s="199">
        <v>2.0</v>
      </c>
      <c r="F75" s="199">
        <v>2.0</v>
      </c>
      <c r="G75" s="1055">
        <v>3.0</v>
      </c>
      <c r="H75" s="1056">
        <v>7.0</v>
      </c>
      <c r="J75" s="199">
        <v>8.5</v>
      </c>
      <c r="K75" s="199">
        <v>4.0</v>
      </c>
      <c r="L75" s="199">
        <v>0.0</v>
      </c>
      <c r="M75" s="1055">
        <v>0.0</v>
      </c>
      <c r="N75" s="414">
        <v>2.0</v>
      </c>
      <c r="O75" s="199">
        <v>2.0</v>
      </c>
      <c r="P75" s="199">
        <v>0.0</v>
      </c>
      <c r="Q75" s="199">
        <v>2.5</v>
      </c>
      <c r="R75" s="199">
        <v>0.0</v>
      </c>
      <c r="S75" s="1055">
        <v>8.0</v>
      </c>
      <c r="T75" s="199">
        <v>16.0</v>
      </c>
      <c r="U75" s="414">
        <v>0.0</v>
      </c>
    </row>
    <row r="76">
      <c r="A76" s="196" t="s">
        <v>1750</v>
      </c>
      <c r="B76" s="413">
        <v>10.0</v>
      </c>
      <c r="C76" s="199">
        <v>14.0</v>
      </c>
      <c r="D76" s="199">
        <v>9.0</v>
      </c>
      <c r="E76" s="199">
        <v>11.0</v>
      </c>
      <c r="F76" s="199">
        <v>0.0</v>
      </c>
      <c r="G76" s="1055">
        <v>0.0</v>
      </c>
      <c r="H76" s="1056">
        <v>11.0</v>
      </c>
      <c r="J76" s="199">
        <v>15.0</v>
      </c>
      <c r="K76" s="199">
        <v>13.0</v>
      </c>
      <c r="L76" s="199">
        <v>3.5</v>
      </c>
      <c r="M76" s="1055">
        <v>0.0</v>
      </c>
      <c r="N76" s="414">
        <v>10.0</v>
      </c>
      <c r="O76" s="199">
        <v>6.5</v>
      </c>
      <c r="P76" s="199">
        <v>6.5</v>
      </c>
      <c r="Q76" s="199">
        <v>3.0</v>
      </c>
      <c r="R76" s="199">
        <v>5.0</v>
      </c>
      <c r="S76" s="1055">
        <v>5.0</v>
      </c>
      <c r="T76" s="199">
        <v>12.0</v>
      </c>
      <c r="U76" s="414">
        <v>8.0</v>
      </c>
    </row>
    <row r="77">
      <c r="A77" s="196" t="s">
        <v>1751</v>
      </c>
      <c r="B77" s="413">
        <v>8.5</v>
      </c>
      <c r="C77" s="199">
        <v>4.0</v>
      </c>
      <c r="D77" s="199">
        <v>9.0</v>
      </c>
      <c r="E77" s="199">
        <v>3.0</v>
      </c>
      <c r="F77" s="199">
        <v>3.0</v>
      </c>
      <c r="G77" s="1055">
        <v>0.5</v>
      </c>
      <c r="H77" s="1056">
        <v>5.0</v>
      </c>
      <c r="J77" s="199">
        <v>8.0</v>
      </c>
      <c r="K77" s="199">
        <v>0.0</v>
      </c>
      <c r="L77" s="199">
        <v>0.0</v>
      </c>
      <c r="M77" s="1055">
        <v>0.0</v>
      </c>
      <c r="N77" s="414">
        <v>0.0</v>
      </c>
      <c r="O77" s="199">
        <v>7.0</v>
      </c>
      <c r="P77" s="199">
        <v>3.0</v>
      </c>
      <c r="Q77" s="199">
        <v>2.0</v>
      </c>
      <c r="R77" s="199">
        <v>2.0</v>
      </c>
      <c r="S77" s="1055">
        <v>8.0</v>
      </c>
      <c r="T77" s="199">
        <v>18.0</v>
      </c>
      <c r="U77" s="414">
        <v>8.0</v>
      </c>
    </row>
    <row r="78">
      <c r="A78" s="1049" t="s">
        <v>1756</v>
      </c>
      <c r="B78" s="316">
        <f t="shared" ref="B78:C78" si="30">SUM(B75:B77)</f>
        <v>29.5</v>
      </c>
      <c r="C78" s="316">
        <f t="shared" si="30"/>
        <v>25</v>
      </c>
      <c r="D78" s="316">
        <f t="shared" ref="D78:H78" si="31">SUM(D74:D77)</f>
        <v>32</v>
      </c>
      <c r="E78" s="316">
        <f t="shared" si="31"/>
        <v>17</v>
      </c>
      <c r="F78" s="316">
        <f t="shared" si="31"/>
        <v>9</v>
      </c>
      <c r="G78" s="316">
        <f t="shared" si="31"/>
        <v>3.5</v>
      </c>
      <c r="H78" s="1051">
        <f t="shared" si="31"/>
        <v>25</v>
      </c>
      <c r="J78" s="316">
        <f t="shared" ref="J78:W78" si="32">SUM(J74:J77)</f>
        <v>34</v>
      </c>
      <c r="K78" s="316">
        <f t="shared" si="32"/>
        <v>19.5</v>
      </c>
      <c r="L78" s="316">
        <f t="shared" si="32"/>
        <v>6</v>
      </c>
      <c r="M78" s="316">
        <f t="shared" si="32"/>
        <v>1</v>
      </c>
      <c r="N78" s="316">
        <f t="shared" si="32"/>
        <v>12</v>
      </c>
      <c r="O78" s="316">
        <f t="shared" si="32"/>
        <v>16.5</v>
      </c>
      <c r="P78" s="316">
        <f t="shared" si="32"/>
        <v>11.5</v>
      </c>
      <c r="Q78" s="316">
        <f t="shared" si="32"/>
        <v>8.5</v>
      </c>
      <c r="R78" s="316">
        <f t="shared" si="32"/>
        <v>12</v>
      </c>
      <c r="S78" s="316">
        <f t="shared" si="32"/>
        <v>26</v>
      </c>
      <c r="T78" s="316">
        <f t="shared" si="32"/>
        <v>54</v>
      </c>
      <c r="U78" s="316">
        <f t="shared" si="32"/>
        <v>30</v>
      </c>
      <c r="V78" s="316">
        <f t="shared" si="32"/>
        <v>0</v>
      </c>
      <c r="W78" s="316">
        <f t="shared" si="32"/>
        <v>0</v>
      </c>
      <c r="X78" s="316">
        <f t="shared" ref="X78:AA78" si="33">SUM(X75:X77)</f>
        <v>0</v>
      </c>
      <c r="Y78" s="316">
        <f t="shared" si="33"/>
        <v>0</v>
      </c>
      <c r="Z78" s="316">
        <f t="shared" si="33"/>
        <v>0</v>
      </c>
      <c r="AA78" s="316">
        <f t="shared" si="33"/>
        <v>0</v>
      </c>
      <c r="AB78" s="316"/>
      <c r="AC78" s="316"/>
      <c r="AD78" s="316"/>
      <c r="AE78" s="316"/>
      <c r="AF78" s="316"/>
      <c r="AG78" s="316"/>
      <c r="AH78" s="316"/>
      <c r="AI78" s="316"/>
      <c r="AJ78" s="316"/>
      <c r="AK78" s="316"/>
      <c r="AL78" s="316"/>
      <c r="AM78" s="316"/>
      <c r="AN78" s="316"/>
      <c r="AO78" s="316"/>
    </row>
    <row r="79">
      <c r="A79" s="1049" t="s">
        <v>1757</v>
      </c>
      <c r="B79" s="316"/>
      <c r="C79" s="316"/>
      <c r="D79" s="316"/>
      <c r="E79" s="316"/>
      <c r="F79" s="317">
        <v>24.5</v>
      </c>
      <c r="G79" s="1053">
        <v>6.5</v>
      </c>
      <c r="H79" s="1051">
        <f>SUM(H76:H78)</f>
        <v>41</v>
      </c>
      <c r="J79" s="317">
        <v>20.0</v>
      </c>
      <c r="K79" s="317">
        <v>38.0</v>
      </c>
      <c r="L79" s="317">
        <v>33.5</v>
      </c>
      <c r="M79" s="1053">
        <v>12.5</v>
      </c>
      <c r="N79" s="318">
        <v>21.0</v>
      </c>
      <c r="O79" s="317">
        <v>17.5</v>
      </c>
      <c r="P79" s="317">
        <v>26.5</v>
      </c>
      <c r="Q79" s="317">
        <v>14.0</v>
      </c>
      <c r="R79" s="317">
        <v>72.0</v>
      </c>
      <c r="S79" s="1053">
        <v>74.0</v>
      </c>
      <c r="T79" s="317">
        <v>46.0</v>
      </c>
      <c r="U79" s="318">
        <v>45.0</v>
      </c>
      <c r="V79" s="316"/>
      <c r="W79" s="316"/>
      <c r="X79" s="316"/>
      <c r="Y79" s="316"/>
      <c r="Z79" s="316"/>
      <c r="AA79" s="316"/>
      <c r="AB79" s="316"/>
      <c r="AC79" s="316"/>
      <c r="AD79" s="316"/>
      <c r="AE79" s="316"/>
      <c r="AF79" s="316"/>
      <c r="AG79" s="316"/>
      <c r="AH79" s="316"/>
      <c r="AI79" s="316"/>
      <c r="AJ79" s="316"/>
      <c r="AK79" s="316"/>
      <c r="AL79" s="316"/>
      <c r="AM79" s="316"/>
      <c r="AN79" s="316"/>
      <c r="AO79" s="316"/>
    </row>
    <row r="80">
      <c r="A80" s="126" t="s">
        <v>225</v>
      </c>
      <c r="B80" s="410"/>
      <c r="C80" s="403"/>
      <c r="D80" s="403"/>
      <c r="E80" s="403"/>
      <c r="F80" s="403"/>
      <c r="G80" s="403"/>
      <c r="H80" s="403"/>
      <c r="I80" s="403"/>
      <c r="J80" s="403"/>
      <c r="K80" s="403"/>
      <c r="L80" s="403"/>
      <c r="M80" s="403"/>
      <c r="N80" s="403"/>
      <c r="O80" s="403"/>
      <c r="P80" s="403"/>
      <c r="Q80" s="403"/>
      <c r="R80" s="403"/>
      <c r="S80" s="403"/>
      <c r="T80" s="403"/>
      <c r="U80" s="403"/>
      <c r="V80" s="411"/>
      <c r="W80" s="403"/>
      <c r="X80" s="403"/>
      <c r="Y80" s="403"/>
      <c r="Z80" s="403"/>
      <c r="AA80" s="403"/>
      <c r="AB80" s="403"/>
      <c r="AC80" s="403"/>
      <c r="AD80" s="403"/>
      <c r="AE80" s="403"/>
      <c r="AF80" s="403"/>
      <c r="AG80" s="403"/>
      <c r="AH80" s="403"/>
      <c r="AI80" s="403"/>
      <c r="AJ80" s="403"/>
      <c r="AK80" s="403"/>
      <c r="AL80" s="403"/>
      <c r="AM80" s="403"/>
      <c r="AN80" s="403"/>
    </row>
  </sheetData>
  <mergeCells count="85">
    <mergeCell ref="H23:I23"/>
    <mergeCell ref="H24:I24"/>
    <mergeCell ref="H25:I25"/>
    <mergeCell ref="H26:I26"/>
    <mergeCell ref="H27:I27"/>
    <mergeCell ref="H28:I28"/>
    <mergeCell ref="H29:I29"/>
    <mergeCell ref="H30:I30"/>
    <mergeCell ref="H32:I32"/>
    <mergeCell ref="H33:I33"/>
    <mergeCell ref="H34:I34"/>
    <mergeCell ref="H35:I35"/>
    <mergeCell ref="H36:I36"/>
    <mergeCell ref="H37:I37"/>
    <mergeCell ref="H38:I38"/>
    <mergeCell ref="H39:I39"/>
    <mergeCell ref="H40:I40"/>
    <mergeCell ref="H41:I41"/>
    <mergeCell ref="H42:I42"/>
    <mergeCell ref="H43:I43"/>
    <mergeCell ref="H44:I44"/>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72:I72"/>
    <mergeCell ref="H73:I73"/>
    <mergeCell ref="H74:I74"/>
    <mergeCell ref="H75:I75"/>
    <mergeCell ref="H76:I76"/>
    <mergeCell ref="H77:I77"/>
    <mergeCell ref="H78:I78"/>
    <mergeCell ref="H79:I79"/>
    <mergeCell ref="H62:I62"/>
    <mergeCell ref="H63:I63"/>
    <mergeCell ref="H64:I64"/>
    <mergeCell ref="H65:I65"/>
    <mergeCell ref="H69:I69"/>
    <mergeCell ref="H70:I70"/>
    <mergeCell ref="H71:I71"/>
    <mergeCell ref="L3:M3"/>
    <mergeCell ref="N3:P3"/>
    <mergeCell ref="Q3:R3"/>
    <mergeCell ref="S3:T3"/>
    <mergeCell ref="U3:V3"/>
    <mergeCell ref="W3:Y3"/>
    <mergeCell ref="B2:G2"/>
    <mergeCell ref="H2:M2"/>
    <mergeCell ref="N2:S2"/>
    <mergeCell ref="U2:AA2"/>
    <mergeCell ref="B3:C3"/>
    <mergeCell ref="D3:E3"/>
    <mergeCell ref="F3:G3"/>
    <mergeCell ref="Z3:AA3"/>
    <mergeCell ref="H3:I3"/>
    <mergeCell ref="J3:K3"/>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s>
  <dataValidations>
    <dataValidation type="list" allowBlank="1" showErrorMessage="1" sqref="B24:H24 J24:AO24 B33:H33 J33:AO33">
      <formula1>"0%,100%"</formula1>
    </dataValidation>
  </dataValidations>
  <hyperlinks>
    <hyperlink r:id="rId2" ref="B5"/>
    <hyperlink r:id="rId3" ref="C5"/>
    <hyperlink r:id="rId4" ref="D5"/>
    <hyperlink r:id="rId5" ref="E5"/>
    <hyperlink r:id="rId6" ref="F5"/>
    <hyperlink r:id="rId7" ref="G5"/>
    <hyperlink r:id="rId8" ref="H5"/>
    <hyperlink r:id="rId9" ref="J5"/>
    <hyperlink r:id="rId10" ref="K5"/>
    <hyperlink r:id="rId11" ref="L5"/>
    <hyperlink r:id="rId12" ref="M5"/>
    <hyperlink r:id="rId13" location="gid=1581546378" ref="N5"/>
    <hyperlink r:id="rId14" location="gid=1903007478" ref="O5"/>
    <hyperlink r:id="rId15" ref="P5"/>
    <hyperlink r:id="rId16" ref="Q5"/>
    <hyperlink r:id="rId17" ref="R5"/>
    <hyperlink r:id="rId18" ref="S5"/>
    <hyperlink r:id="rId19" ref="T5"/>
    <hyperlink r:id="rId20" ref="U5"/>
  </hyperlinks>
  <drawing r:id="rId21"/>
  <legacyDrawing r:id="rId22"/>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3.88"/>
    <col customWidth="1" min="2" max="2" width="9.0"/>
    <col customWidth="1" hidden="1" min="3" max="3" width="22.38"/>
    <col customWidth="1" min="4" max="5" width="23.25"/>
    <col customWidth="1" min="6" max="6" width="19.25"/>
    <col customWidth="1" min="7" max="7" width="22.38"/>
    <col customWidth="1" min="8" max="8" width="18.38"/>
    <col hidden="1" min="9" max="10" width="12.63"/>
  </cols>
  <sheetData>
    <row r="1">
      <c r="A1" s="1057" t="s">
        <v>1758</v>
      </c>
      <c r="B1" s="1058" t="s">
        <v>6</v>
      </c>
      <c r="C1" s="1059" t="s">
        <v>1759</v>
      </c>
      <c r="D1" s="1060" t="s">
        <v>39</v>
      </c>
      <c r="E1" s="1061" t="s">
        <v>38</v>
      </c>
      <c r="F1" s="1059" t="s">
        <v>1760</v>
      </c>
      <c r="G1" s="1062" t="s">
        <v>1761</v>
      </c>
      <c r="H1" s="453" t="s">
        <v>989</v>
      </c>
      <c r="I1" s="199" t="s">
        <v>1762</v>
      </c>
      <c r="J1" s="199" t="s">
        <v>1763</v>
      </c>
      <c r="K1" s="453" t="s">
        <v>989</v>
      </c>
      <c r="L1" s="453" t="s">
        <v>989</v>
      </c>
      <c r="M1" s="453" t="s">
        <v>989</v>
      </c>
      <c r="N1" s="453" t="s">
        <v>989</v>
      </c>
      <c r="O1" s="453" t="s">
        <v>989</v>
      </c>
      <c r="P1" s="199" t="s">
        <v>1764</v>
      </c>
      <c r="Q1" s="453" t="s">
        <v>989</v>
      </c>
      <c r="R1" s="453" t="s">
        <v>989</v>
      </c>
      <c r="S1" s="453" t="s">
        <v>989</v>
      </c>
      <c r="T1" s="453" t="s">
        <v>989</v>
      </c>
      <c r="U1" s="453" t="s">
        <v>989</v>
      </c>
      <c r="V1" s="453" t="s">
        <v>989</v>
      </c>
      <c r="W1" s="453" t="s">
        <v>989</v>
      </c>
      <c r="X1" s="453" t="s">
        <v>989</v>
      </c>
      <c r="Y1" s="453" t="s">
        <v>989</v>
      </c>
      <c r="Z1" s="453" t="s">
        <v>989</v>
      </c>
      <c r="AA1" s="453" t="s">
        <v>989</v>
      </c>
      <c r="AB1" s="453" t="s">
        <v>989</v>
      </c>
      <c r="AC1" s="453" t="s">
        <v>989</v>
      </c>
      <c r="AD1" s="453" t="s">
        <v>989</v>
      </c>
      <c r="AE1" s="453" t="s">
        <v>989</v>
      </c>
      <c r="AF1" s="453" t="s">
        <v>989</v>
      </c>
      <c r="AG1" s="453" t="s">
        <v>989</v>
      </c>
      <c r="AH1" s="453" t="s">
        <v>989</v>
      </c>
      <c r="AI1" s="453" t="s">
        <v>989</v>
      </c>
      <c r="AJ1" s="453" t="s">
        <v>989</v>
      </c>
      <c r="AK1" s="453" t="s">
        <v>989</v>
      </c>
      <c r="AL1" s="453" t="s">
        <v>989</v>
      </c>
      <c r="AM1" s="453" t="s">
        <v>989</v>
      </c>
      <c r="AN1" s="453" t="s">
        <v>989</v>
      </c>
      <c r="AO1" s="453" t="s">
        <v>989</v>
      </c>
      <c r="AP1" s="453" t="s">
        <v>989</v>
      </c>
      <c r="AQ1" s="453" t="s">
        <v>989</v>
      </c>
    </row>
    <row r="2">
      <c r="A2" s="199" t="s">
        <v>75</v>
      </c>
      <c r="B2" s="199">
        <v>1.0</v>
      </c>
      <c r="C2" s="1063">
        <f t="array" ref="C2">AVERAGE(VLOOKUP($C$1, INDIRECT("'"&amp;$A2&amp;"'"&amp;"!28:28"), {2*$B2+2, 2*$B2+1}))</f>
        <v>0.1218954248</v>
      </c>
      <c r="D2" s="1064">
        <v>0.48</v>
      </c>
      <c r="E2" s="1064">
        <v>0.1</v>
      </c>
      <c r="F2" s="1064">
        <v>0.79</v>
      </c>
      <c r="G2" s="641">
        <v>0.65</v>
      </c>
      <c r="I2" s="457" t="str">
        <f t="array" ref="I2">SUM(VLOOKUP($I$1, INDIRECT("'"&amp;$A2&amp;"'"&amp;"!A15:Ag35"), {2*$B2, 2*$B2+1}, 0))</f>
        <v>#N/A</v>
      </c>
    </row>
    <row r="3">
      <c r="A3" s="199" t="s">
        <v>75</v>
      </c>
      <c r="B3" s="199">
        <v>2.0</v>
      </c>
      <c r="C3" s="1065"/>
      <c r="D3" s="1064">
        <v>0.63</v>
      </c>
      <c r="E3" s="1064">
        <v>0.13</v>
      </c>
      <c r="F3" s="1064">
        <v>0.71</v>
      </c>
      <c r="G3" s="641">
        <v>0.775</v>
      </c>
      <c r="I3" s="457" t="str">
        <f t="array" ref="I3">SUM(VLOOKUP($I$1, INDIRECT("'"&amp;$A3&amp;"'"&amp;"!A15:Ag35"), {2*$B3, 2*$B3+1}, 0))</f>
        <v>#N/A</v>
      </c>
    </row>
    <row r="4">
      <c r="A4" s="199" t="s">
        <v>75</v>
      </c>
      <c r="B4" s="199">
        <v>3.0</v>
      </c>
      <c r="C4" s="1065"/>
      <c r="D4" s="1064">
        <v>0.73</v>
      </c>
      <c r="E4" s="1064">
        <v>0.21</v>
      </c>
      <c r="F4" s="1064">
        <v>1.03</v>
      </c>
      <c r="G4" s="641">
        <v>0.95</v>
      </c>
      <c r="I4" s="457" t="str">
        <f t="array" ref="I4">SUM(VLOOKUP($I$1, INDIRECT("'"&amp;$A4&amp;"'"&amp;"!A15:Ag35"), {2*$B4, 2*$B4+1}, 0))</f>
        <v>#N/A</v>
      </c>
    </row>
    <row r="5">
      <c r="A5" s="199" t="s">
        <v>75</v>
      </c>
      <c r="B5" s="199">
        <v>4.0</v>
      </c>
      <c r="C5" s="1065"/>
      <c r="D5" s="1064">
        <v>0.64</v>
      </c>
      <c r="E5" s="1064">
        <v>0.25</v>
      </c>
      <c r="F5" s="1064">
        <v>0.69</v>
      </c>
      <c r="G5" s="641">
        <v>0.85</v>
      </c>
    </row>
    <row r="6">
      <c r="A6" s="199" t="s">
        <v>75</v>
      </c>
      <c r="B6" s="199">
        <v>5.0</v>
      </c>
      <c r="C6" s="1065"/>
      <c r="D6" s="1064">
        <v>0.89</v>
      </c>
      <c r="E6" s="1064">
        <v>0.29</v>
      </c>
      <c r="F6" s="1064">
        <v>0.81</v>
      </c>
      <c r="G6" s="641">
        <v>1.0</v>
      </c>
    </row>
    <row r="7">
      <c r="A7" s="199" t="s">
        <v>75</v>
      </c>
      <c r="B7" s="199">
        <v>6.0</v>
      </c>
      <c r="C7" s="1065"/>
      <c r="D7" s="1064">
        <v>0.35</v>
      </c>
      <c r="E7" s="1064">
        <v>0.36</v>
      </c>
      <c r="F7" s="1064">
        <v>0.5</v>
      </c>
      <c r="G7" s="641">
        <v>0.425</v>
      </c>
    </row>
    <row r="8">
      <c r="A8" s="199" t="s">
        <v>75</v>
      </c>
      <c r="B8" s="199">
        <v>7.0</v>
      </c>
      <c r="C8" s="1066"/>
      <c r="D8" s="1064">
        <v>0.57</v>
      </c>
      <c r="E8" s="1064">
        <v>0.28</v>
      </c>
      <c r="F8" s="1064">
        <v>0.51</v>
      </c>
      <c r="G8" s="641">
        <v>0.65</v>
      </c>
    </row>
    <row r="9">
      <c r="A9" s="199" t="s">
        <v>75</v>
      </c>
      <c r="B9" s="199">
        <v>8.0</v>
      </c>
      <c r="C9" s="1066"/>
      <c r="D9" s="1064">
        <v>0.69</v>
      </c>
      <c r="E9" s="1064">
        <v>0.34</v>
      </c>
      <c r="F9" s="1064">
        <v>0.75</v>
      </c>
      <c r="G9" s="641">
        <v>0.65</v>
      </c>
    </row>
    <row r="10">
      <c r="A10" s="199" t="s">
        <v>75</v>
      </c>
      <c r="B10" s="199">
        <v>9.0</v>
      </c>
      <c r="C10" s="1066"/>
      <c r="D10" s="1067">
        <v>0.61</v>
      </c>
      <c r="E10" s="1067">
        <v>0.3</v>
      </c>
      <c r="F10" s="1067">
        <v>0.41</v>
      </c>
      <c r="G10" s="1068">
        <v>0.25</v>
      </c>
    </row>
    <row r="11">
      <c r="A11" s="199" t="s">
        <v>75</v>
      </c>
      <c r="B11" s="199">
        <v>10.0</v>
      </c>
      <c r="C11" s="1066"/>
      <c r="D11" s="1066"/>
      <c r="E11" s="1066"/>
      <c r="F11" s="1066"/>
      <c r="G11" s="1065"/>
    </row>
    <row r="12">
      <c r="A12" s="199" t="s">
        <v>75</v>
      </c>
      <c r="B12" s="199">
        <v>11.0</v>
      </c>
      <c r="C12" s="641"/>
      <c r="D12" s="1066"/>
      <c r="E12" s="1066"/>
      <c r="F12" s="1066"/>
      <c r="G12" s="641"/>
    </row>
    <row r="13">
      <c r="A13" s="199" t="s">
        <v>75</v>
      </c>
      <c r="B13" s="199">
        <v>12.0</v>
      </c>
    </row>
    <row r="14">
      <c r="A14" s="199" t="s">
        <v>1765</v>
      </c>
      <c r="B14" s="199">
        <v>1.0</v>
      </c>
      <c r="C14" s="1065"/>
      <c r="D14" s="1064">
        <v>0.45</v>
      </c>
      <c r="E14" s="1064">
        <v>0.15</v>
      </c>
      <c r="F14" s="1064">
        <v>0.78</v>
      </c>
      <c r="G14" s="641">
        <v>0.65</v>
      </c>
      <c r="I14" s="457" t="str">
        <f t="array" ref="I14">SUM(VLOOKUP($I$1, INDIRECT("'"&amp;$A14&amp;"'"&amp;"!A15:Ag35"), {2*$B14, 2*$B14+1}, 0))</f>
        <v>#N/A</v>
      </c>
    </row>
    <row r="15">
      <c r="A15" s="199" t="s">
        <v>1765</v>
      </c>
      <c r="B15" s="199">
        <v>2.0</v>
      </c>
      <c r="C15" s="1065"/>
      <c r="D15" s="1064">
        <v>0.59</v>
      </c>
      <c r="E15" s="1064">
        <v>0.25</v>
      </c>
      <c r="F15" s="1064">
        <v>0.9</v>
      </c>
      <c r="G15" s="641">
        <v>0.3</v>
      </c>
      <c r="I15" s="457" t="str">
        <f t="array" ref="I15">SUM(VLOOKUP($I$1, INDIRECT("'"&amp;$A15&amp;"'"&amp;"!A15:Ag35"), {2*$B15, 2*$B15+1}, 0))</f>
        <v>#N/A</v>
      </c>
    </row>
    <row r="16">
      <c r="A16" s="199" t="s">
        <v>1765</v>
      </c>
      <c r="B16" s="199">
        <v>3.0</v>
      </c>
      <c r="C16" s="1065"/>
      <c r="D16" s="1064">
        <v>0.55</v>
      </c>
      <c r="E16" s="1064">
        <v>0.2</v>
      </c>
      <c r="F16" s="1064">
        <v>0.9</v>
      </c>
      <c r="G16" s="641">
        <v>0.53</v>
      </c>
      <c r="I16" s="457" t="str">
        <f t="array" ref="I16">SUM(VLOOKUP($I$1, INDIRECT("'"&amp;$A16&amp;"'"&amp;"!A15:Ag35"), {2*$B16, 2*$B16+1}, 0))</f>
        <v>#N/A</v>
      </c>
    </row>
    <row r="17">
      <c r="A17" s="199" t="s">
        <v>1765</v>
      </c>
      <c r="B17" s="199">
        <v>4.0</v>
      </c>
      <c r="C17" s="1065"/>
      <c r="D17" s="1064">
        <v>0.69</v>
      </c>
      <c r="E17" s="1064">
        <v>0.21</v>
      </c>
      <c r="F17" s="1064">
        <v>0.97</v>
      </c>
      <c r="G17" s="641">
        <v>0.65</v>
      </c>
    </row>
    <row r="18">
      <c r="A18" s="199" t="s">
        <v>1765</v>
      </c>
      <c r="B18" s="199">
        <v>5.0</v>
      </c>
      <c r="C18" s="1065"/>
      <c r="D18" s="1064">
        <v>0.58</v>
      </c>
      <c r="E18" s="1064">
        <v>0.2</v>
      </c>
      <c r="F18" s="1064">
        <v>0.85</v>
      </c>
      <c r="G18" s="641">
        <v>0.3</v>
      </c>
    </row>
    <row r="19">
      <c r="A19" s="199" t="s">
        <v>1765</v>
      </c>
      <c r="B19" s="199">
        <v>6.0</v>
      </c>
      <c r="C19" s="1065"/>
      <c r="D19" s="1064">
        <v>0.54</v>
      </c>
      <c r="E19" s="1064">
        <v>0.27</v>
      </c>
      <c r="F19" s="1064">
        <v>0.95</v>
      </c>
      <c r="G19" s="641">
        <v>1.0</v>
      </c>
    </row>
    <row r="20">
      <c r="A20" s="199" t="s">
        <v>1765</v>
      </c>
      <c r="B20" s="199">
        <v>7.0</v>
      </c>
      <c r="C20" s="1066"/>
      <c r="D20" s="1064">
        <v>0.79</v>
      </c>
      <c r="E20" s="1064">
        <v>0.19</v>
      </c>
      <c r="F20" s="1064">
        <v>1.0</v>
      </c>
      <c r="G20" s="641">
        <v>0.65</v>
      </c>
    </row>
    <row r="21">
      <c r="A21" s="199" t="s">
        <v>1765</v>
      </c>
      <c r="B21" s="199">
        <v>8.0</v>
      </c>
      <c r="C21" s="1066"/>
      <c r="D21" s="1064">
        <v>0.65</v>
      </c>
      <c r="E21" s="1064">
        <v>0.22</v>
      </c>
      <c r="F21" s="1064">
        <v>0.95</v>
      </c>
      <c r="G21" s="641">
        <v>0.766</v>
      </c>
    </row>
    <row r="22">
      <c r="A22" s="199" t="s">
        <v>1765</v>
      </c>
      <c r="B22" s="199">
        <v>9.0</v>
      </c>
      <c r="C22" s="1066"/>
      <c r="D22" s="1064">
        <v>0.56</v>
      </c>
      <c r="E22" s="1064">
        <v>0.22</v>
      </c>
      <c r="F22" s="1064">
        <v>0.83</v>
      </c>
      <c r="G22" s="641">
        <v>0.3</v>
      </c>
    </row>
    <row r="23">
      <c r="A23" s="199" t="s">
        <v>1765</v>
      </c>
      <c r="B23" s="199">
        <v>10.0</v>
      </c>
      <c r="C23" s="1066"/>
      <c r="D23" s="1066"/>
      <c r="E23" s="1066"/>
      <c r="F23" s="1066"/>
      <c r="G23" s="1065"/>
    </row>
    <row r="24">
      <c r="A24" s="199" t="s">
        <v>1765</v>
      </c>
      <c r="B24" s="199">
        <v>11.0</v>
      </c>
      <c r="C24" s="641"/>
      <c r="D24" s="1066"/>
      <c r="E24" s="1066"/>
      <c r="F24" s="1066"/>
      <c r="G24" s="641"/>
    </row>
    <row r="25">
      <c r="A25" s="199" t="s">
        <v>1765</v>
      </c>
      <c r="B25" s="199">
        <v>12.0</v>
      </c>
    </row>
    <row r="26">
      <c r="A26" s="199" t="s">
        <v>1319</v>
      </c>
      <c r="B26" s="199">
        <v>1.0</v>
      </c>
      <c r="C26" s="1065"/>
      <c r="D26" s="1069">
        <v>0.67</v>
      </c>
      <c r="E26" s="1069">
        <v>0.14</v>
      </c>
      <c r="F26" s="1069">
        <v>0.99</v>
      </c>
      <c r="G26" s="1070">
        <v>1.0</v>
      </c>
      <c r="I26" s="457" t="str">
        <f t="array" ref="I26">SUM(VLOOKUP($I$1, INDIRECT("'"&amp;$A26&amp;"'"&amp;"!A15:Ag35"), {2*$B26, 2*$B26+1}, 0))</f>
        <v>#N/A</v>
      </c>
    </row>
    <row r="27">
      <c r="A27" s="199" t="s">
        <v>1319</v>
      </c>
      <c r="B27" s="199">
        <v>2.0</v>
      </c>
      <c r="C27" s="1065"/>
      <c r="D27" s="1064">
        <v>0.71</v>
      </c>
      <c r="E27" s="1064">
        <v>0.15</v>
      </c>
      <c r="F27" s="1064">
        <v>0.91</v>
      </c>
      <c r="G27" s="641">
        <v>0.3</v>
      </c>
      <c r="I27" s="457" t="str">
        <f t="array" ref="I27">SUM(VLOOKUP($I$1, INDIRECT("'"&amp;$A27&amp;"'"&amp;"!A15:Ag35"), {2*$B27, 2*$B27+1}, 0))</f>
        <v>#N/A</v>
      </c>
    </row>
    <row r="28">
      <c r="A28" s="199" t="s">
        <v>1319</v>
      </c>
      <c r="B28" s="199">
        <v>3.0</v>
      </c>
      <c r="C28" s="1065"/>
      <c r="D28" s="1064">
        <v>0.73</v>
      </c>
      <c r="E28" s="1064">
        <v>0.32</v>
      </c>
      <c r="F28" s="1064">
        <v>0.91</v>
      </c>
      <c r="G28" s="641">
        <v>0.53</v>
      </c>
      <c r="I28" s="457" t="str">
        <f t="array" ref="I28">SUM(VLOOKUP($I$1, INDIRECT("'"&amp;$A28&amp;"'"&amp;"!A15:Ag35"), {2*$B28, 2*$B28+1}, 0))</f>
        <v>#N/A</v>
      </c>
    </row>
    <row r="29">
      <c r="A29" s="199" t="s">
        <v>1319</v>
      </c>
      <c r="B29" s="199">
        <v>4.0</v>
      </c>
      <c r="C29" s="1065"/>
      <c r="D29" s="1064">
        <v>0.67</v>
      </c>
      <c r="E29" s="1064">
        <v>0.18</v>
      </c>
      <c r="F29" s="1064">
        <v>1.0</v>
      </c>
      <c r="G29" s="641">
        <v>0.65</v>
      </c>
    </row>
    <row r="30">
      <c r="A30" s="199" t="s">
        <v>1319</v>
      </c>
      <c r="B30" s="199">
        <v>5.0</v>
      </c>
      <c r="C30" s="1065"/>
      <c r="D30" s="1064">
        <v>0.78</v>
      </c>
      <c r="E30" s="1064">
        <v>0.27</v>
      </c>
      <c r="F30" s="1064">
        <v>0.99</v>
      </c>
      <c r="G30" s="641">
        <v>0.925</v>
      </c>
    </row>
    <row r="31">
      <c r="A31" s="199" t="s">
        <v>1319</v>
      </c>
      <c r="B31" s="199">
        <v>6.0</v>
      </c>
      <c r="C31" s="1065"/>
      <c r="D31" s="1064">
        <v>0.92</v>
      </c>
      <c r="E31" s="1064">
        <v>0.31</v>
      </c>
      <c r="F31" s="1064">
        <v>1.03</v>
      </c>
      <c r="G31" s="641">
        <v>1.0</v>
      </c>
    </row>
    <row r="32">
      <c r="A32" s="199" t="s">
        <v>1319</v>
      </c>
      <c r="B32" s="199">
        <v>7.0</v>
      </c>
      <c r="C32" s="1066"/>
      <c r="D32" s="1064">
        <v>0.74</v>
      </c>
      <c r="E32" s="1064">
        <v>0.11</v>
      </c>
      <c r="F32" s="1064">
        <v>0.98</v>
      </c>
      <c r="G32" s="641">
        <v>0.65</v>
      </c>
    </row>
    <row r="33">
      <c r="A33" s="199" t="s">
        <v>1319</v>
      </c>
      <c r="B33" s="199">
        <v>8.0</v>
      </c>
      <c r="C33" s="1066"/>
      <c r="D33" s="1064">
        <v>0.73</v>
      </c>
      <c r="E33" s="1064">
        <v>0.1</v>
      </c>
      <c r="F33" s="1064">
        <v>0.95</v>
      </c>
      <c r="G33" s="641">
        <v>1.0</v>
      </c>
    </row>
    <row r="34">
      <c r="A34" s="199" t="s">
        <v>1319</v>
      </c>
      <c r="B34" s="199">
        <v>9.0</v>
      </c>
      <c r="C34" s="1066"/>
      <c r="D34" s="1064">
        <v>0.69</v>
      </c>
      <c r="E34" s="1064">
        <v>0.18</v>
      </c>
      <c r="F34" s="1064">
        <v>0.94</v>
      </c>
      <c r="G34" s="641">
        <v>0.65</v>
      </c>
    </row>
    <row r="35">
      <c r="A35" s="199" t="s">
        <v>1319</v>
      </c>
      <c r="B35" s="199">
        <v>10.0</v>
      </c>
      <c r="C35" s="1066"/>
      <c r="D35" s="1066"/>
      <c r="E35" s="1066"/>
      <c r="F35" s="1066"/>
      <c r="G35" s="1065"/>
    </row>
    <row r="36">
      <c r="A36" s="199" t="s">
        <v>1319</v>
      </c>
      <c r="B36" s="199">
        <v>11.0</v>
      </c>
    </row>
    <row r="37">
      <c r="A37" s="199" t="s">
        <v>1319</v>
      </c>
      <c r="B37" s="199">
        <v>12.0</v>
      </c>
    </row>
    <row r="38">
      <c r="A38" s="199" t="s">
        <v>1120</v>
      </c>
      <c r="B38" s="199">
        <v>1.0</v>
      </c>
      <c r="C38" s="1065"/>
      <c r="D38" s="1064">
        <v>0.7</v>
      </c>
      <c r="E38" s="1064">
        <v>0.4</v>
      </c>
      <c r="F38" s="1064">
        <v>0.74</v>
      </c>
      <c r="G38" s="641">
        <v>1.0</v>
      </c>
      <c r="I38" s="457" t="str">
        <f t="array" ref="I38">SUM(VLOOKUP($I$1, INDIRECT("'"&amp;$A38&amp;"'"&amp;"!A15:Ag35"), {2*$B38, 2*$B38+1}, 0), $I50)</f>
        <v>#N/A</v>
      </c>
    </row>
    <row r="39">
      <c r="A39" s="199" t="s">
        <v>1120</v>
      </c>
      <c r="B39" s="199">
        <v>2.0</v>
      </c>
      <c r="C39" s="1065"/>
      <c r="D39" s="1064">
        <v>0.47</v>
      </c>
      <c r="E39" s="1064">
        <v>0.3</v>
      </c>
      <c r="F39" s="1064">
        <v>0.67</v>
      </c>
      <c r="G39" s="641">
        <v>0.93</v>
      </c>
      <c r="I39" s="457" t="str">
        <f t="array" ref="I39">SUM(VLOOKUP($I$1, INDIRECT("'"&amp;$A39&amp;"'"&amp;"!A15:Ag35"), {2*$B39, 2*$B39+1}, 0))</f>
        <v>#N/A</v>
      </c>
    </row>
    <row r="40">
      <c r="A40" s="199" t="s">
        <v>1120</v>
      </c>
      <c r="B40" s="199">
        <v>3.0</v>
      </c>
      <c r="C40" s="1065"/>
      <c r="D40" s="1064">
        <v>0.81</v>
      </c>
      <c r="E40" s="1064">
        <v>0.38</v>
      </c>
      <c r="F40" s="1064">
        <v>0.89</v>
      </c>
      <c r="G40" s="641">
        <v>0.9</v>
      </c>
      <c r="I40" s="457" t="str">
        <f t="array" ref="I40">SUM(VLOOKUP($I$1, INDIRECT("'"&amp;$A40&amp;"'"&amp;"!A15:Ag35"), {2*$B40, 2*$B40+1}, 0))</f>
        <v>#N/A</v>
      </c>
    </row>
    <row r="41">
      <c r="A41" s="199" t="s">
        <v>1120</v>
      </c>
      <c r="B41" s="199">
        <v>4.0</v>
      </c>
      <c r="C41" s="1065"/>
      <c r="D41" s="1064">
        <v>0.69</v>
      </c>
      <c r="E41" s="1064">
        <v>0.4</v>
      </c>
      <c r="F41" s="1064">
        <v>0.85</v>
      </c>
      <c r="G41" s="641">
        <v>0.85</v>
      </c>
    </row>
    <row r="42">
      <c r="A42" s="199" t="s">
        <v>1120</v>
      </c>
      <c r="B42" s="199">
        <v>5.0</v>
      </c>
      <c r="C42" s="1065"/>
      <c r="D42" s="1064">
        <v>0.82</v>
      </c>
      <c r="E42" s="1064">
        <v>0.37</v>
      </c>
      <c r="F42" s="1064">
        <v>0.87</v>
      </c>
      <c r="G42" s="641">
        <v>0.575</v>
      </c>
    </row>
    <row r="43">
      <c r="A43" s="199" t="s">
        <v>1120</v>
      </c>
      <c r="B43" s="199">
        <v>6.0</v>
      </c>
      <c r="C43" s="1065"/>
      <c r="D43" s="1064">
        <v>0.8</v>
      </c>
      <c r="E43" s="1064">
        <v>0.4</v>
      </c>
      <c r="F43" s="1064">
        <v>0.65</v>
      </c>
      <c r="G43" s="641">
        <v>0.15</v>
      </c>
    </row>
    <row r="44">
      <c r="A44" s="199" t="s">
        <v>1120</v>
      </c>
      <c r="B44" s="199">
        <v>7.0</v>
      </c>
      <c r="C44" s="1066"/>
      <c r="D44" s="1064">
        <v>0.73</v>
      </c>
      <c r="E44" s="1064">
        <v>0.45</v>
      </c>
      <c r="F44" s="1064">
        <v>0.73</v>
      </c>
      <c r="G44" s="641">
        <v>0.3</v>
      </c>
    </row>
    <row r="45">
      <c r="A45" s="199" t="s">
        <v>1120</v>
      </c>
      <c r="B45" s="199">
        <v>8.0</v>
      </c>
      <c r="C45" s="1066"/>
      <c r="D45" s="1064">
        <v>0.64</v>
      </c>
      <c r="E45" s="1064">
        <v>0.3</v>
      </c>
      <c r="F45" s="1064">
        <v>0.71</v>
      </c>
      <c r="G45" s="641">
        <v>0.15</v>
      </c>
    </row>
    <row r="46">
      <c r="A46" s="199" t="s">
        <v>1120</v>
      </c>
      <c r="B46" s="199">
        <v>9.0</v>
      </c>
      <c r="C46" s="1066"/>
      <c r="D46" s="1064">
        <v>0.8</v>
      </c>
      <c r="E46" s="1064">
        <v>0.44</v>
      </c>
      <c r="F46" s="1064">
        <v>0.86</v>
      </c>
      <c r="G46" s="641">
        <v>1.0</v>
      </c>
    </row>
    <row r="47">
      <c r="A47" s="199" t="s">
        <v>1120</v>
      </c>
      <c r="B47" s="199">
        <v>10.0</v>
      </c>
      <c r="C47" s="1066"/>
      <c r="D47" s="1066"/>
      <c r="E47" s="1066"/>
      <c r="F47" s="1066"/>
      <c r="G47" s="1065"/>
    </row>
    <row r="48">
      <c r="A48" s="199" t="s">
        <v>1120</v>
      </c>
      <c r="B48" s="199">
        <v>11.0</v>
      </c>
      <c r="C48" s="1065"/>
      <c r="D48" s="1066"/>
      <c r="E48" s="1066"/>
      <c r="F48" s="1066"/>
      <c r="G48" s="1065"/>
    </row>
    <row r="49">
      <c r="A49" s="199" t="s">
        <v>1120</v>
      </c>
      <c r="B49" s="199">
        <v>12.0</v>
      </c>
      <c r="C49" s="1065"/>
      <c r="D49" s="1066"/>
      <c r="E49" s="1066"/>
      <c r="F49" s="1066"/>
      <c r="G49" s="1065"/>
    </row>
    <row r="50">
      <c r="A50" s="199" t="s">
        <v>818</v>
      </c>
      <c r="B50" s="199">
        <v>1.0</v>
      </c>
      <c r="C50" s="1065"/>
      <c r="D50" s="1064">
        <v>1.0</v>
      </c>
      <c r="E50" s="1064">
        <v>0.16</v>
      </c>
      <c r="F50" s="1064">
        <v>0.69</v>
      </c>
      <c r="G50" s="641">
        <v>0.71</v>
      </c>
      <c r="I50" s="457" t="str">
        <f t="array" ref="I50">SUM(VLOOKUP($I$1, INDIRECT("'"&amp;$A50&amp;"'"&amp;"!A15:Ag35"), {2*$B50, 2*$B50+1}, 0))</f>
        <v>#N/A</v>
      </c>
    </row>
    <row r="51">
      <c r="A51" s="199" t="s">
        <v>818</v>
      </c>
      <c r="B51" s="199">
        <v>2.0</v>
      </c>
      <c r="C51" s="1065"/>
      <c r="D51" s="1064">
        <v>0.61</v>
      </c>
      <c r="E51" s="1064">
        <v>0.26</v>
      </c>
      <c r="F51" s="1064">
        <v>0.95</v>
      </c>
      <c r="G51" s="641">
        <v>0.925</v>
      </c>
      <c r="I51" s="457" t="str">
        <f t="array" ref="I51">SUM(VLOOKUP($I$1, INDIRECT("'"&amp;$A51&amp;"'"&amp;"!A15:Ag35"), {2*$B51, 2*$B51+1}, 0))</f>
        <v>#N/A</v>
      </c>
    </row>
    <row r="52">
      <c r="A52" s="199" t="s">
        <v>818</v>
      </c>
      <c r="B52" s="199">
        <v>3.0</v>
      </c>
      <c r="C52" s="1065"/>
      <c r="D52" s="1064">
        <v>0.83</v>
      </c>
      <c r="E52" s="1064">
        <v>0.3</v>
      </c>
      <c r="F52" s="1064">
        <v>0.88</v>
      </c>
      <c r="G52" s="641">
        <v>0.925</v>
      </c>
      <c r="I52" s="457" t="str">
        <f t="array" ref="I52">SUM(VLOOKUP($I$1, INDIRECT("'"&amp;$A52&amp;"'"&amp;"!A15:Ag35"), {2*$B52, 2*$B52+1}, 0))</f>
        <v>#N/A</v>
      </c>
    </row>
    <row r="53">
      <c r="A53" s="199" t="s">
        <v>818</v>
      </c>
      <c r="B53" s="199">
        <v>4.0</v>
      </c>
      <c r="C53" s="1065"/>
      <c r="D53" s="1064">
        <v>1.0</v>
      </c>
      <c r="E53" s="1064">
        <v>0.43</v>
      </c>
      <c r="F53" s="1064">
        <v>0.61</v>
      </c>
      <c r="G53" s="641">
        <v>0.5</v>
      </c>
    </row>
    <row r="54">
      <c r="A54" s="199" t="s">
        <v>818</v>
      </c>
      <c r="B54" s="199">
        <v>5.0</v>
      </c>
      <c r="C54" s="1065"/>
      <c r="D54" s="1064">
        <v>1.0</v>
      </c>
      <c r="E54" s="1064">
        <v>0.2</v>
      </c>
      <c r="F54" s="1064">
        <v>0.73</v>
      </c>
      <c r="G54" s="641">
        <v>0.85</v>
      </c>
    </row>
    <row r="55">
      <c r="A55" s="199" t="s">
        <v>818</v>
      </c>
      <c r="B55" s="199">
        <v>6.0</v>
      </c>
      <c r="C55" s="1065"/>
      <c r="D55" s="1064">
        <v>0.93</v>
      </c>
      <c r="E55" s="1064">
        <v>0.63</v>
      </c>
      <c r="F55" s="1064">
        <v>0.68</v>
      </c>
      <c r="G55" s="641">
        <v>0.3</v>
      </c>
    </row>
    <row r="56">
      <c r="A56" s="199" t="s">
        <v>818</v>
      </c>
      <c r="B56" s="199">
        <v>7.0</v>
      </c>
      <c r="C56" s="1066"/>
      <c r="D56" s="1064">
        <v>0.97</v>
      </c>
      <c r="E56" s="1064">
        <v>0.57</v>
      </c>
      <c r="F56" s="1064">
        <v>0.76</v>
      </c>
      <c r="G56" s="1071">
        <v>0.65</v>
      </c>
    </row>
    <row r="57">
      <c r="A57" s="199" t="s">
        <v>818</v>
      </c>
      <c r="B57" s="199">
        <v>8.0</v>
      </c>
      <c r="C57" s="1066"/>
      <c r="D57" s="1064">
        <v>1.0</v>
      </c>
      <c r="E57" s="1064">
        <v>0.54</v>
      </c>
      <c r="F57" s="1064">
        <v>0.42</v>
      </c>
      <c r="G57" s="641">
        <v>0.3</v>
      </c>
    </row>
    <row r="58">
      <c r="A58" s="199" t="s">
        <v>818</v>
      </c>
      <c r="B58" s="199">
        <v>9.0</v>
      </c>
      <c r="C58" s="641"/>
      <c r="D58" s="1064">
        <v>1.0</v>
      </c>
      <c r="E58" s="1064">
        <v>0.32</v>
      </c>
      <c r="F58" s="1064">
        <v>0.75</v>
      </c>
      <c r="G58" s="1071">
        <v>0.77</v>
      </c>
    </row>
    <row r="59">
      <c r="A59" s="199" t="s">
        <v>818</v>
      </c>
      <c r="B59" s="199">
        <v>10.0</v>
      </c>
      <c r="C59" s="641"/>
      <c r="D59" s="1066"/>
      <c r="E59" s="1066"/>
      <c r="F59" s="1066"/>
      <c r="G59" s="1065"/>
    </row>
    <row r="60">
      <c r="A60" s="199" t="s">
        <v>818</v>
      </c>
      <c r="B60" s="199">
        <v>11.0</v>
      </c>
      <c r="C60" s="641"/>
      <c r="D60" s="1066"/>
      <c r="E60" s="1066"/>
      <c r="F60" s="1066"/>
      <c r="G60" s="641"/>
    </row>
    <row r="61">
      <c r="A61" s="199" t="s">
        <v>818</v>
      </c>
      <c r="B61" s="199">
        <v>12.0</v>
      </c>
    </row>
    <row r="62">
      <c r="A62" s="199" t="s">
        <v>158</v>
      </c>
      <c r="B62" s="199">
        <v>1.0</v>
      </c>
      <c r="C62" s="1065"/>
      <c r="D62" s="1064">
        <v>0.96</v>
      </c>
      <c r="E62" s="1064">
        <v>0.0</v>
      </c>
      <c r="F62" s="1064">
        <v>0.69</v>
      </c>
      <c r="G62" s="641">
        <v>1.0</v>
      </c>
      <c r="I62" s="457" t="str">
        <f t="array" ref="I62">SUM(VLOOKUP($I$1, INDIRECT("'"&amp;$A62&amp;"'"&amp;"!A15:Ag35"), {2*$B62, 2*$B62+1}, 0))</f>
        <v>#N/A</v>
      </c>
    </row>
    <row r="63">
      <c r="A63" s="199" t="s">
        <v>158</v>
      </c>
      <c r="B63" s="199">
        <v>2.0</v>
      </c>
      <c r="C63" s="1065"/>
      <c r="D63" s="1064">
        <v>0.99</v>
      </c>
      <c r="E63" s="1064">
        <v>0.26</v>
      </c>
      <c r="F63" s="1064">
        <v>1.01</v>
      </c>
      <c r="G63" s="641">
        <v>1.0</v>
      </c>
      <c r="I63" s="457" t="str">
        <f t="array" ref="I63">SUM(VLOOKUP($I$1, INDIRECT("'"&amp;$A63&amp;"'"&amp;"!A15:Ag35"), {2*$B63, 2*$B63+1}, 0))</f>
        <v>#N/A</v>
      </c>
    </row>
    <row r="64">
      <c r="A64" s="199" t="s">
        <v>158</v>
      </c>
      <c r="B64" s="199">
        <v>3.0</v>
      </c>
      <c r="C64" s="1065"/>
      <c r="D64" s="1064">
        <v>1.0</v>
      </c>
      <c r="E64" s="1064">
        <v>0.43</v>
      </c>
      <c r="F64" s="1064">
        <v>0.9</v>
      </c>
      <c r="G64" s="641">
        <v>0.53</v>
      </c>
      <c r="I64" s="457" t="str">
        <f t="array" ref="I64">SUM(VLOOKUP($I$1, INDIRECT("'"&amp;$A64&amp;"'"&amp;"!A15:Ag35"), {2*$B64, 2*$B64+1}, 0))</f>
        <v>#N/A</v>
      </c>
    </row>
    <row r="65">
      <c r="A65" s="199" t="s">
        <v>158</v>
      </c>
      <c r="B65" s="199">
        <v>4.0</v>
      </c>
      <c r="C65" s="1065"/>
      <c r="D65" s="1064">
        <v>1.0</v>
      </c>
      <c r="E65" s="1064">
        <v>0.46</v>
      </c>
      <c r="F65" s="1064">
        <v>0.82</v>
      </c>
      <c r="G65" s="641">
        <v>1.0</v>
      </c>
    </row>
    <row r="66">
      <c r="A66" s="199" t="s">
        <v>158</v>
      </c>
      <c r="B66" s="199">
        <v>5.0</v>
      </c>
      <c r="C66" s="1065"/>
      <c r="D66" s="1064">
        <v>0.8</v>
      </c>
      <c r="E66" s="1064">
        <v>0.33</v>
      </c>
      <c r="F66" s="1064">
        <v>0.72</v>
      </c>
      <c r="G66" s="641">
        <v>0.77</v>
      </c>
    </row>
    <row r="67">
      <c r="A67" s="199" t="s">
        <v>158</v>
      </c>
      <c r="B67" s="199">
        <v>6.0</v>
      </c>
      <c r="C67" s="1065"/>
      <c r="D67" s="1064">
        <v>0.7</v>
      </c>
      <c r="E67" s="1064">
        <v>0.44</v>
      </c>
      <c r="F67" s="1064">
        <v>0.9</v>
      </c>
      <c r="G67" s="641">
        <v>1.0</v>
      </c>
    </row>
    <row r="68">
      <c r="A68" s="199" t="s">
        <v>158</v>
      </c>
      <c r="B68" s="199">
        <v>7.0</v>
      </c>
      <c r="C68" s="1066"/>
      <c r="D68" s="1064">
        <v>0.72</v>
      </c>
      <c r="E68" s="1064">
        <v>0.1</v>
      </c>
      <c r="F68" s="1064">
        <v>0.92</v>
      </c>
      <c r="G68" s="641">
        <v>1.0</v>
      </c>
    </row>
    <row r="69">
      <c r="A69" s="199" t="s">
        <v>158</v>
      </c>
      <c r="B69" s="199">
        <v>8.0</v>
      </c>
      <c r="C69" s="1066"/>
      <c r="D69" s="1064">
        <v>1.0</v>
      </c>
      <c r="E69" s="1064">
        <v>0.21</v>
      </c>
      <c r="F69" s="1064">
        <v>0.86</v>
      </c>
      <c r="G69" s="641">
        <v>1.0</v>
      </c>
    </row>
    <row r="70">
      <c r="A70" s="199" t="s">
        <v>158</v>
      </c>
      <c r="B70" s="199">
        <v>9.0</v>
      </c>
      <c r="C70" s="1066"/>
      <c r="D70" s="1064">
        <v>1.0</v>
      </c>
      <c r="E70" s="1064">
        <v>0.65</v>
      </c>
      <c r="F70" s="1064">
        <v>0.83</v>
      </c>
      <c r="G70" s="641">
        <v>0.65</v>
      </c>
    </row>
    <row r="71">
      <c r="A71" s="199" t="s">
        <v>158</v>
      </c>
      <c r="B71" s="199">
        <v>10.0</v>
      </c>
      <c r="C71" s="1066"/>
      <c r="D71" s="1066"/>
      <c r="E71" s="1066"/>
      <c r="F71" s="1066"/>
      <c r="G71" s="1065"/>
    </row>
    <row r="72">
      <c r="A72" s="199" t="s">
        <v>158</v>
      </c>
      <c r="B72" s="199">
        <v>11.0</v>
      </c>
      <c r="C72" s="1065"/>
      <c r="D72" s="1066"/>
      <c r="E72" s="1066"/>
      <c r="F72" s="1066"/>
      <c r="G72" s="1065"/>
    </row>
    <row r="73">
      <c r="A73" s="199" t="s">
        <v>158</v>
      </c>
      <c r="B73" s="199">
        <v>12.0</v>
      </c>
      <c r="C73" s="1065"/>
      <c r="D73" s="1066"/>
      <c r="E73" s="1066"/>
      <c r="F73" s="1066"/>
      <c r="G73" s="1065"/>
    </row>
    <row r="74">
      <c r="A74" s="199" t="s">
        <v>1766</v>
      </c>
      <c r="B74" s="199">
        <v>1.0</v>
      </c>
      <c r="C74" s="1065"/>
      <c r="D74" s="1064">
        <v>0.92</v>
      </c>
      <c r="E74" s="1064">
        <v>0.28</v>
      </c>
      <c r="F74" s="1064">
        <v>0.72</v>
      </c>
      <c r="G74" s="641">
        <v>0.15</v>
      </c>
      <c r="I74" s="457" t="str">
        <f t="array" ref="I74">SUM(VLOOKUP($I$1, INDIRECT("'"&amp;$A74&amp;"'"&amp;"!A15:Ag35"), {2*$B74, 2*$B74+1}, 0))</f>
        <v>#N/A</v>
      </c>
    </row>
    <row r="75">
      <c r="A75" s="199" t="s">
        <v>1766</v>
      </c>
      <c r="B75" s="199">
        <v>2.0</v>
      </c>
      <c r="C75" s="1065"/>
      <c r="D75" s="1064">
        <v>0.84</v>
      </c>
      <c r="E75" s="1064">
        <v>0.31</v>
      </c>
      <c r="F75" s="1064">
        <v>1.04</v>
      </c>
      <c r="G75" s="641">
        <v>0.5</v>
      </c>
      <c r="I75" s="457" t="str">
        <f t="array" ref="I75">SUM(VLOOKUP($I$1, INDIRECT("'"&amp;$A75&amp;"'"&amp;"!A15:Ag35"), {2*$B75, 2*$B75+1}, 0))</f>
        <v>#N/A</v>
      </c>
    </row>
    <row r="76">
      <c r="A76" s="199" t="s">
        <v>1766</v>
      </c>
      <c r="B76" s="199">
        <v>3.0</v>
      </c>
      <c r="C76" s="1065"/>
      <c r="D76" s="1064">
        <v>0.79</v>
      </c>
      <c r="E76" s="1064">
        <v>0.25</v>
      </c>
      <c r="F76" s="1064">
        <v>0.8</v>
      </c>
      <c r="G76" s="641">
        <v>0.9</v>
      </c>
      <c r="I76" s="457" t="str">
        <f t="array" ref="I76">SUM(VLOOKUP($I$1, INDIRECT("'"&amp;$A76&amp;"'"&amp;"!A15:Ag35"), {2*$B76, 2*$B76+1}, 0))</f>
        <v>#N/A</v>
      </c>
    </row>
    <row r="77">
      <c r="A77" s="199" t="s">
        <v>1766</v>
      </c>
      <c r="B77" s="199">
        <v>4.0</v>
      </c>
      <c r="C77" s="1065"/>
      <c r="D77" s="1064">
        <v>0.85</v>
      </c>
      <c r="E77" s="1064">
        <v>0.38</v>
      </c>
      <c r="F77" s="1064">
        <v>0.64</v>
      </c>
      <c r="G77" s="641">
        <v>0.3</v>
      </c>
    </row>
    <row r="78">
      <c r="A78" s="199" t="s">
        <v>1766</v>
      </c>
      <c r="B78" s="199">
        <v>5.0</v>
      </c>
      <c r="C78" s="1065"/>
      <c r="D78" s="1064">
        <v>0.92</v>
      </c>
      <c r="E78" s="1064">
        <v>0.18</v>
      </c>
      <c r="F78" s="1064">
        <v>0.9</v>
      </c>
      <c r="G78" s="641">
        <v>1.0</v>
      </c>
    </row>
    <row r="79">
      <c r="A79" s="199" t="s">
        <v>1766</v>
      </c>
      <c r="B79" s="199">
        <v>6.0</v>
      </c>
      <c r="C79" s="1065"/>
      <c r="D79" s="1064">
        <v>1.02</v>
      </c>
      <c r="E79" s="1064">
        <v>0.14</v>
      </c>
      <c r="F79" s="1064">
        <v>0.79</v>
      </c>
      <c r="G79" s="641">
        <v>0.65</v>
      </c>
    </row>
    <row r="80">
      <c r="A80" s="199" t="s">
        <v>1766</v>
      </c>
      <c r="B80" s="199">
        <v>7.0</v>
      </c>
      <c r="C80" s="1066"/>
      <c r="D80" s="1064">
        <v>0.92</v>
      </c>
      <c r="E80" s="1064">
        <v>0.1</v>
      </c>
      <c r="F80" s="1064">
        <v>0.84</v>
      </c>
      <c r="G80" s="641">
        <v>1.0</v>
      </c>
    </row>
    <row r="81">
      <c r="A81" s="199" t="s">
        <v>1766</v>
      </c>
      <c r="B81" s="199">
        <v>8.0</v>
      </c>
      <c r="C81" s="1066"/>
      <c r="D81" s="1064">
        <v>0.82</v>
      </c>
      <c r="E81" s="1064">
        <v>0.19</v>
      </c>
      <c r="F81" s="1064">
        <v>0.78</v>
      </c>
      <c r="G81" s="641">
        <v>0.65</v>
      </c>
    </row>
    <row r="82">
      <c r="A82" s="199" t="s">
        <v>1766</v>
      </c>
      <c r="B82" s="199">
        <v>9.0</v>
      </c>
      <c r="C82" s="1066"/>
      <c r="D82" s="1064">
        <v>0.74</v>
      </c>
      <c r="E82" s="1064">
        <v>0.53</v>
      </c>
      <c r="F82" s="1064">
        <v>0.53</v>
      </c>
      <c r="G82" s="641">
        <v>0.3</v>
      </c>
    </row>
    <row r="83">
      <c r="A83" s="199" t="s">
        <v>1766</v>
      </c>
      <c r="B83" s="199">
        <v>10.0</v>
      </c>
      <c r="C83" s="1066"/>
      <c r="D83" s="1066"/>
      <c r="E83" s="1066"/>
      <c r="F83" s="1066"/>
      <c r="G83" s="1065"/>
    </row>
    <row r="84">
      <c r="A84" s="199" t="s">
        <v>1766</v>
      </c>
      <c r="B84" s="199">
        <v>11.0</v>
      </c>
      <c r="D84" s="1066"/>
      <c r="E84" s="1066"/>
      <c r="F84" s="1066"/>
    </row>
    <row r="85">
      <c r="A85" s="199" t="s">
        <v>1766</v>
      </c>
      <c r="B85" s="199">
        <v>12.0</v>
      </c>
    </row>
    <row r="86">
      <c r="A86" s="199" t="s">
        <v>1767</v>
      </c>
      <c r="B86" s="199">
        <v>1.0</v>
      </c>
      <c r="C86" s="1065"/>
      <c r="D86" s="1064">
        <v>0.9</v>
      </c>
      <c r="E86" s="1064">
        <v>0.27</v>
      </c>
      <c r="F86" s="1064">
        <v>0.85</v>
      </c>
      <c r="G86" s="641">
        <v>1.0</v>
      </c>
      <c r="I86" s="457" t="str">
        <f t="array" ref="I86">SUM(VLOOKUP($I$1, INDIRECT("'"&amp;$A86&amp;"'"&amp;"!A15:Ag35"), {2*$B86, 2*$B86+1}, 0))</f>
        <v>#N/A</v>
      </c>
    </row>
    <row r="87">
      <c r="A87" s="199" t="s">
        <v>1767</v>
      </c>
      <c r="B87" s="199">
        <v>2.0</v>
      </c>
      <c r="C87" s="1065"/>
      <c r="D87" s="1064">
        <v>0.98</v>
      </c>
      <c r="E87" s="1064">
        <v>0.41</v>
      </c>
      <c r="F87" s="1064">
        <v>1.05</v>
      </c>
      <c r="G87" s="641">
        <v>1.0</v>
      </c>
      <c r="I87" s="457" t="str">
        <f t="array" ref="I87">SUM(VLOOKUP($I$1, INDIRECT("'"&amp;$A87&amp;"'"&amp;"!A15:Ag35"), {2*$B87, 2*$B87+1}, 0))</f>
        <v>#N/A</v>
      </c>
    </row>
    <row r="88">
      <c r="A88" s="199" t="s">
        <v>1767</v>
      </c>
      <c r="B88" s="199">
        <v>3.0</v>
      </c>
      <c r="C88" s="1065"/>
      <c r="D88" s="1064">
        <v>1.0</v>
      </c>
      <c r="E88" s="1064">
        <v>0.51</v>
      </c>
      <c r="F88" s="1064">
        <v>0.98</v>
      </c>
      <c r="G88" s="641">
        <v>0.77</v>
      </c>
      <c r="I88" s="457" t="str">
        <f t="array" ref="I88">SUM(VLOOKUP($I$1, INDIRECT("'"&amp;$A88&amp;"'"&amp;"!A15:Ag35"), {2*$B88, 2*$B88+1}, 0))</f>
        <v>#N/A</v>
      </c>
    </row>
    <row r="89">
      <c r="A89" s="199" t="s">
        <v>1767</v>
      </c>
      <c r="B89" s="199">
        <v>4.0</v>
      </c>
      <c r="C89" s="1065"/>
      <c r="D89" s="1064">
        <v>0.8</v>
      </c>
      <c r="E89" s="1064">
        <v>0.28</v>
      </c>
      <c r="F89" s="1064">
        <v>0.79</v>
      </c>
      <c r="G89" s="641">
        <v>0.3</v>
      </c>
    </row>
    <row r="90">
      <c r="A90" s="199" t="s">
        <v>1767</v>
      </c>
      <c r="B90" s="199">
        <v>5.0</v>
      </c>
      <c r="C90" s="1065"/>
      <c r="D90" s="1064">
        <v>0.93</v>
      </c>
      <c r="E90" s="1064">
        <v>0.22</v>
      </c>
      <c r="F90" s="1064">
        <v>0.86</v>
      </c>
      <c r="G90" s="641">
        <v>0.77</v>
      </c>
    </row>
    <row r="91">
      <c r="A91" s="199" t="s">
        <v>1767</v>
      </c>
      <c r="B91" s="199">
        <v>6.0</v>
      </c>
      <c r="C91" s="1065"/>
      <c r="D91" s="1064">
        <v>0.92</v>
      </c>
      <c r="E91" s="1064">
        <v>0.4</v>
      </c>
      <c r="F91" s="1064">
        <v>0.88</v>
      </c>
      <c r="G91" s="641">
        <v>0.65</v>
      </c>
    </row>
    <row r="92">
      <c r="A92" s="199" t="s">
        <v>1767</v>
      </c>
      <c r="B92" s="199">
        <v>7.0</v>
      </c>
      <c r="C92" s="1066"/>
      <c r="D92" s="1064">
        <v>0.79</v>
      </c>
      <c r="E92" s="1064">
        <v>0.23</v>
      </c>
      <c r="F92" s="1064">
        <v>0.73</v>
      </c>
      <c r="G92" s="1071">
        <v>0.3</v>
      </c>
    </row>
    <row r="93">
      <c r="A93" s="199" t="s">
        <v>1767</v>
      </c>
      <c r="B93" s="199">
        <v>8.0</v>
      </c>
      <c r="C93" s="1066"/>
      <c r="D93" s="1064">
        <v>0.91</v>
      </c>
      <c r="E93" s="1064">
        <v>0.33</v>
      </c>
      <c r="F93" s="1064">
        <v>1.0</v>
      </c>
      <c r="G93" s="641">
        <v>1.0</v>
      </c>
    </row>
    <row r="94">
      <c r="A94" s="199" t="s">
        <v>1767</v>
      </c>
      <c r="B94" s="199">
        <v>9.0</v>
      </c>
      <c r="C94" s="1066"/>
      <c r="D94" s="1064">
        <v>0.95</v>
      </c>
      <c r="E94" s="1064">
        <v>0.31</v>
      </c>
      <c r="F94" s="1064">
        <v>0.79</v>
      </c>
      <c r="G94" s="641">
        <v>1.0</v>
      </c>
    </row>
    <row r="95">
      <c r="A95" s="199" t="s">
        <v>1767</v>
      </c>
      <c r="B95" s="199">
        <v>10.0</v>
      </c>
      <c r="C95" s="1066"/>
      <c r="D95" s="1066"/>
      <c r="E95" s="1066"/>
      <c r="F95" s="1066"/>
      <c r="G95" s="1065"/>
    </row>
    <row r="96">
      <c r="A96" s="199" t="s">
        <v>1767</v>
      </c>
      <c r="B96" s="199">
        <v>11.0</v>
      </c>
      <c r="D96" s="1066"/>
      <c r="E96" s="1066"/>
      <c r="F96" s="1066"/>
    </row>
    <row r="97">
      <c r="A97" s="199" t="s">
        <v>1767</v>
      </c>
      <c r="B97" s="199">
        <v>12.0</v>
      </c>
    </row>
    <row r="98">
      <c r="A98" s="199" t="s">
        <v>1768</v>
      </c>
      <c r="B98" s="199">
        <v>1.0</v>
      </c>
      <c r="C98" s="1065"/>
      <c r="D98" s="1064">
        <v>0.0</v>
      </c>
      <c r="E98" s="1064">
        <v>0.04</v>
      </c>
      <c r="F98" s="1064">
        <v>1.03</v>
      </c>
      <c r="G98" s="641">
        <v>0.575</v>
      </c>
      <c r="I98" s="457" t="str">
        <f t="array" ref="I98">SUM(VLOOKUP($I$1, INDIRECT("'"&amp;$A98&amp;"'"&amp;"!A15:Ag35"), {2*$B98, 2*$B98+1}, 0))</f>
        <v>#N/A</v>
      </c>
    </row>
    <row r="99">
      <c r="A99" s="199" t="s">
        <v>1768</v>
      </c>
      <c r="B99" s="199">
        <v>2.0</v>
      </c>
      <c r="C99" s="1065"/>
      <c r="D99" s="1064">
        <v>0.07</v>
      </c>
      <c r="E99" s="1064">
        <v>0.02</v>
      </c>
      <c r="F99" s="1064">
        <v>0.95</v>
      </c>
      <c r="G99" s="641">
        <v>0.65</v>
      </c>
      <c r="I99" s="457" t="str">
        <f t="array" ref="I99">SUM(VLOOKUP($I$1, INDIRECT("'"&amp;$A99&amp;"'"&amp;"!A15:Ag35"), {2*$B99, 2*$B99+1}, 0))</f>
        <v>#N/A</v>
      </c>
      <c r="K99" s="199" t="s">
        <v>989</v>
      </c>
    </row>
    <row r="100">
      <c r="A100" s="199" t="s">
        <v>1768</v>
      </c>
      <c r="B100" s="199">
        <v>3.0</v>
      </c>
      <c r="C100" s="1065"/>
      <c r="D100" s="1064">
        <v>0.19</v>
      </c>
      <c r="E100" s="1064">
        <v>0.07</v>
      </c>
      <c r="F100" s="1064">
        <v>1.11</v>
      </c>
      <c r="G100" s="641">
        <v>1.0</v>
      </c>
      <c r="I100" s="457" t="str">
        <f t="array" ref="I100">SUM(VLOOKUP($I$1, INDIRECT("'"&amp;$A100&amp;"'"&amp;"!A15:Ag35"), {2*$B100, 2*$B100+1}, 0))</f>
        <v>#N/A</v>
      </c>
    </row>
    <row r="101">
      <c r="A101" s="199" t="s">
        <v>1768</v>
      </c>
      <c r="B101" s="199">
        <v>4.0</v>
      </c>
      <c r="C101" s="1065"/>
      <c r="D101" s="1064">
        <v>0.0</v>
      </c>
      <c r="E101" s="1064">
        <v>0.14</v>
      </c>
      <c r="F101" s="1064">
        <v>0.84</v>
      </c>
      <c r="G101" s="641">
        <v>1.0</v>
      </c>
    </row>
    <row r="102">
      <c r="A102" s="199" t="s">
        <v>1768</v>
      </c>
      <c r="B102" s="199">
        <v>5.0</v>
      </c>
      <c r="C102" s="1065"/>
      <c r="D102" s="1064">
        <v>0.0</v>
      </c>
      <c r="E102" s="1064">
        <v>0.0</v>
      </c>
      <c r="F102" s="1064">
        <v>0.84</v>
      </c>
      <c r="G102" s="641">
        <v>1.0</v>
      </c>
    </row>
    <row r="103">
      <c r="A103" s="199" t="s">
        <v>1768</v>
      </c>
      <c r="B103" s="199">
        <v>6.0</v>
      </c>
      <c r="C103" s="1065"/>
      <c r="D103" s="1064">
        <v>0.26</v>
      </c>
      <c r="E103" s="1064">
        <v>0.39</v>
      </c>
      <c r="F103" s="1064">
        <v>1.17</v>
      </c>
      <c r="G103" s="641">
        <v>1.0</v>
      </c>
    </row>
    <row r="104">
      <c r="A104" s="199" t="s">
        <v>1768</v>
      </c>
      <c r="B104" s="199">
        <v>7.0</v>
      </c>
      <c r="C104" s="1066"/>
      <c r="D104" s="1064">
        <v>0.2</v>
      </c>
      <c r="E104" s="1064">
        <v>0.17</v>
      </c>
      <c r="F104" s="1064">
        <v>0.82</v>
      </c>
      <c r="G104" s="641">
        <v>0.533</v>
      </c>
    </row>
    <row r="105">
      <c r="A105" s="199" t="s">
        <v>1768</v>
      </c>
      <c r="B105" s="199">
        <v>8.0</v>
      </c>
      <c r="C105" s="1066"/>
      <c r="D105" s="1064">
        <v>0.08</v>
      </c>
      <c r="E105" s="1064">
        <v>0.11</v>
      </c>
      <c r="F105" s="1064">
        <v>0.96</v>
      </c>
      <c r="G105" s="641">
        <v>1.0</v>
      </c>
    </row>
    <row r="106">
      <c r="A106" s="199" t="s">
        <v>1768</v>
      </c>
      <c r="B106" s="199">
        <v>9.0</v>
      </c>
      <c r="C106" s="1066"/>
      <c r="D106" s="1064">
        <v>0.25</v>
      </c>
      <c r="E106" s="1064">
        <v>0.17</v>
      </c>
      <c r="F106" s="1064">
        <v>0.95</v>
      </c>
      <c r="G106" s="641">
        <v>1.0</v>
      </c>
    </row>
    <row r="107">
      <c r="A107" s="199" t="s">
        <v>1768</v>
      </c>
      <c r="B107" s="199">
        <v>10.0</v>
      </c>
      <c r="C107" s="1066"/>
      <c r="D107" s="1066"/>
      <c r="E107" s="1066"/>
      <c r="F107" s="1066"/>
      <c r="G107" s="641"/>
    </row>
    <row r="108">
      <c r="A108" s="199" t="s">
        <v>1768</v>
      </c>
      <c r="B108" s="199">
        <v>11.0</v>
      </c>
      <c r="C108" s="641"/>
      <c r="D108" s="1066"/>
      <c r="E108" s="1066"/>
      <c r="F108" s="1066"/>
      <c r="G108" s="641"/>
    </row>
    <row r="109">
      <c r="A109" s="199" t="s">
        <v>1768</v>
      </c>
      <c r="B109" s="199">
        <v>12.0</v>
      </c>
    </row>
    <row r="110">
      <c r="A110" s="199" t="s">
        <v>1769</v>
      </c>
      <c r="B110" s="199">
        <v>1.0</v>
      </c>
      <c r="C110" s="1065"/>
      <c r="D110" s="1064">
        <v>0.48</v>
      </c>
      <c r="E110" s="1064">
        <v>0.11</v>
      </c>
      <c r="F110" s="1064">
        <v>0.62</v>
      </c>
      <c r="G110" s="641">
        <v>0.225</v>
      </c>
      <c r="I110" s="457" t="str">
        <f t="array" ref="I110">SUM(VLOOKUP($I$1, INDIRECT("'"&amp;$A110&amp;"'"&amp;"!A15:Ag35"), {2*$B110, 2*$B110+1}, 0))</f>
        <v>#N/A</v>
      </c>
    </row>
    <row r="111">
      <c r="A111" s="199" t="s">
        <v>1769</v>
      </c>
      <c r="B111" s="199">
        <v>2.0</v>
      </c>
      <c r="C111" s="1065"/>
      <c r="D111" s="1064">
        <v>0.64</v>
      </c>
      <c r="E111" s="1064">
        <v>0.24</v>
      </c>
      <c r="F111" s="1064">
        <v>0.81</v>
      </c>
      <c r="G111" s="641">
        <v>0.65</v>
      </c>
      <c r="I111" s="457" t="str">
        <f t="array" ref="I111">SUM(VLOOKUP($I$1, INDIRECT("'"&amp;$A111&amp;"'"&amp;"!A15:Ag35"), {2*$B111, 2*$B111+1}, 0))</f>
        <v>#N/A</v>
      </c>
    </row>
    <row r="112">
      <c r="A112" s="199" t="s">
        <v>1769</v>
      </c>
      <c r="B112" s="199">
        <v>3.0</v>
      </c>
      <c r="C112" s="1065"/>
      <c r="D112" s="1064">
        <v>0.62</v>
      </c>
      <c r="E112" s="1064">
        <v>0.26</v>
      </c>
      <c r="F112" s="1064">
        <v>0.82</v>
      </c>
      <c r="G112" s="641">
        <v>0.925</v>
      </c>
      <c r="I112" s="457" t="str">
        <f t="array" ref="I112">SUM(VLOOKUP($I$1, INDIRECT("'"&amp;$A112&amp;"'"&amp;"!A15:Ag35"), {2*$B112, 2*$B112+1, 2*$B112+2}, 0))</f>
        <v>#N/A</v>
      </c>
    </row>
    <row r="113">
      <c r="A113" s="199" t="s">
        <v>1769</v>
      </c>
      <c r="B113" s="199">
        <v>4.0</v>
      </c>
      <c r="C113" s="1065"/>
      <c r="D113" s="1064">
        <v>0.73</v>
      </c>
      <c r="E113" s="1064">
        <v>0.23</v>
      </c>
      <c r="F113" s="1064">
        <v>0.81</v>
      </c>
      <c r="G113" s="641">
        <v>0.65</v>
      </c>
    </row>
    <row r="114">
      <c r="A114" s="199" t="s">
        <v>1769</v>
      </c>
      <c r="B114" s="199">
        <v>5.0</v>
      </c>
      <c r="C114" s="1065"/>
      <c r="D114" s="1064">
        <v>0.7</v>
      </c>
      <c r="E114" s="1064">
        <v>0.24</v>
      </c>
      <c r="F114" s="1064">
        <v>0.72</v>
      </c>
      <c r="G114" s="641">
        <v>1.0</v>
      </c>
    </row>
    <row r="115">
      <c r="A115" s="199" t="s">
        <v>1769</v>
      </c>
      <c r="B115" s="199">
        <v>6.0</v>
      </c>
      <c r="C115" s="1065"/>
      <c r="D115" s="1064">
        <v>0.9</v>
      </c>
      <c r="E115" s="1064">
        <v>0.44</v>
      </c>
      <c r="F115" s="1064">
        <v>0.84</v>
      </c>
      <c r="G115" s="641">
        <v>0.0</v>
      </c>
    </row>
    <row r="116">
      <c r="A116" s="199" t="s">
        <v>1769</v>
      </c>
      <c r="B116" s="199">
        <v>7.0</v>
      </c>
      <c r="C116" s="1066"/>
      <c r="D116" s="1064">
        <v>0.76</v>
      </c>
      <c r="E116" s="1064">
        <v>0.48</v>
      </c>
      <c r="F116" s="1064">
        <v>0.57</v>
      </c>
      <c r="G116" s="641">
        <v>0.5</v>
      </c>
    </row>
    <row r="117">
      <c r="A117" s="199" t="s">
        <v>1769</v>
      </c>
      <c r="B117" s="199">
        <v>8.0</v>
      </c>
      <c r="C117" s="1066"/>
      <c r="D117" s="1064">
        <v>0.85</v>
      </c>
      <c r="E117" s="1064">
        <v>0.4</v>
      </c>
      <c r="F117" s="1064">
        <v>0.76</v>
      </c>
      <c r="G117" s="641">
        <v>0.3</v>
      </c>
    </row>
    <row r="118">
      <c r="A118" s="199" t="s">
        <v>1769</v>
      </c>
      <c r="B118" s="199">
        <v>9.0</v>
      </c>
      <c r="C118" s="1066"/>
      <c r="D118" s="1064">
        <v>0.68</v>
      </c>
      <c r="E118" s="1064">
        <v>0.46</v>
      </c>
      <c r="F118" s="1064">
        <v>0.67</v>
      </c>
      <c r="G118" s="1071">
        <v>0.5</v>
      </c>
    </row>
    <row r="119">
      <c r="A119" s="199" t="s">
        <v>1769</v>
      </c>
      <c r="B119" s="199">
        <v>10.0</v>
      </c>
      <c r="C119" s="1066"/>
      <c r="D119" s="1066"/>
      <c r="E119" s="1066"/>
      <c r="F119" s="1066"/>
      <c r="G119" s="641"/>
    </row>
    <row r="120">
      <c r="A120" s="199" t="s">
        <v>1769</v>
      </c>
      <c r="B120" s="199">
        <v>11.0</v>
      </c>
      <c r="C120" s="641"/>
      <c r="D120" s="1066"/>
      <c r="E120" s="1066"/>
      <c r="F120" s="1066"/>
      <c r="G120" s="641"/>
    </row>
    <row r="121">
      <c r="A121" s="199" t="s">
        <v>1769</v>
      </c>
      <c r="B121" s="199">
        <v>12.0</v>
      </c>
    </row>
    <row r="122">
      <c r="A122" s="199" t="s">
        <v>1770</v>
      </c>
      <c r="B122" s="199">
        <v>1.0</v>
      </c>
      <c r="C122" s="1065"/>
      <c r="D122" s="1064">
        <v>0.53</v>
      </c>
      <c r="E122" s="1064">
        <v>0.24</v>
      </c>
      <c r="F122" s="1064">
        <v>0.81</v>
      </c>
      <c r="G122" s="641">
        <v>0.925</v>
      </c>
      <c r="I122" s="457" t="str">
        <f t="array" ref="I122">SUM(VLOOKUP($I$1, INDIRECT("'"&amp;$A122&amp;"'"&amp;"!A15:Ag35"), {2*$B122, 2*$B122+1}, 0))</f>
        <v>#REF!</v>
      </c>
    </row>
    <row r="123">
      <c r="A123" s="199" t="s">
        <v>1770</v>
      </c>
      <c r="B123" s="199">
        <v>2.0</v>
      </c>
      <c r="C123" s="1065"/>
      <c r="D123" s="1064">
        <v>0.74</v>
      </c>
      <c r="E123" s="1064">
        <v>0.17</v>
      </c>
      <c r="F123" s="1064">
        <v>0.93</v>
      </c>
      <c r="G123" s="1064">
        <v>0.65</v>
      </c>
      <c r="I123" s="457" t="str">
        <f t="array" ref="I123">SUM(VLOOKUP($I$1, INDIRECT("'"&amp;$A123&amp;"'"&amp;"!A15:Ag35"), {2*$B123, 2*$B123+1}, 0))</f>
        <v>#REF!</v>
      </c>
    </row>
    <row r="124">
      <c r="A124" s="199" t="s">
        <v>1770</v>
      </c>
      <c r="B124" s="199">
        <v>3.0</v>
      </c>
      <c r="C124" s="1065"/>
      <c r="D124" s="1064">
        <v>0.65</v>
      </c>
      <c r="E124" s="1064">
        <v>0.2</v>
      </c>
      <c r="F124" s="1064">
        <v>0.78</v>
      </c>
      <c r="G124" s="641">
        <v>0.575</v>
      </c>
      <c r="I124" s="457" t="str">
        <f t="array" ref="I124">SUM(VLOOKUP($I$1, INDIRECT("'"&amp;$A124&amp;"'"&amp;"!A15:Ag35"), {2*$B124, 2*$B124+1, 2*$B124+2}, 0))</f>
        <v>#REF!</v>
      </c>
    </row>
    <row r="125">
      <c r="A125" s="199" t="s">
        <v>1770</v>
      </c>
      <c r="B125" s="199">
        <v>4.0</v>
      </c>
      <c r="C125" s="1065"/>
      <c r="D125" s="1064">
        <v>0.91</v>
      </c>
      <c r="E125" s="1064">
        <v>0.39</v>
      </c>
      <c r="F125" s="1064">
        <v>0.47</v>
      </c>
      <c r="G125" s="641">
        <v>0.3</v>
      </c>
    </row>
    <row r="126">
      <c r="A126" s="199" t="s">
        <v>1770</v>
      </c>
      <c r="B126" s="199">
        <v>5.0</v>
      </c>
      <c r="C126" s="1065"/>
      <c r="D126" s="1064">
        <v>0.75</v>
      </c>
      <c r="E126" s="1064">
        <v>0.42</v>
      </c>
      <c r="F126" s="1064">
        <v>0.94</v>
      </c>
      <c r="G126" s="641">
        <v>0.65</v>
      </c>
    </row>
    <row r="127">
      <c r="A127" s="199" t="s">
        <v>1770</v>
      </c>
      <c r="B127" s="199">
        <v>6.0</v>
      </c>
      <c r="C127" s="1065"/>
      <c r="D127" s="1064">
        <v>0.64</v>
      </c>
      <c r="E127" s="1064">
        <v>0.37</v>
      </c>
      <c r="F127" s="1064">
        <v>0.56</v>
      </c>
      <c r="G127" s="641">
        <v>0.5</v>
      </c>
    </row>
    <row r="128">
      <c r="A128" s="199" t="s">
        <v>1770</v>
      </c>
      <c r="B128" s="199">
        <v>7.0</v>
      </c>
      <c r="C128" s="1066"/>
      <c r="D128" s="1064">
        <v>0.77</v>
      </c>
      <c r="E128" s="1064">
        <v>0.43</v>
      </c>
      <c r="F128" s="1064">
        <v>0.32</v>
      </c>
      <c r="G128" s="641">
        <v>0.15</v>
      </c>
    </row>
    <row r="129">
      <c r="A129" s="199" t="s">
        <v>1770</v>
      </c>
      <c r="B129" s="199">
        <v>8.0</v>
      </c>
      <c r="C129" s="1066"/>
      <c r="D129" s="1064">
        <v>0.58</v>
      </c>
      <c r="E129" s="1064">
        <v>0.36</v>
      </c>
      <c r="F129" s="1064">
        <v>0.77</v>
      </c>
      <c r="G129" s="641">
        <v>0.3</v>
      </c>
    </row>
    <row r="130">
      <c r="A130" s="199" t="s">
        <v>1770</v>
      </c>
      <c r="B130" s="199">
        <v>9.0</v>
      </c>
      <c r="C130" s="1066"/>
      <c r="D130" s="1064">
        <v>0.67</v>
      </c>
      <c r="E130" s="1064">
        <v>0.41</v>
      </c>
      <c r="F130" s="1064">
        <v>0.81</v>
      </c>
      <c r="G130" s="641">
        <v>0.575</v>
      </c>
    </row>
    <row r="131">
      <c r="A131" s="199" t="s">
        <v>1770</v>
      </c>
      <c r="B131" s="199">
        <v>10.0</v>
      </c>
      <c r="C131" s="1066"/>
      <c r="D131" s="1066"/>
      <c r="E131" s="1066"/>
      <c r="F131" s="1066"/>
      <c r="G131" s="641"/>
    </row>
    <row r="132">
      <c r="A132" s="199" t="s">
        <v>1770</v>
      </c>
      <c r="B132" s="199">
        <v>11.0</v>
      </c>
      <c r="C132" s="641"/>
      <c r="D132" s="1066"/>
      <c r="E132" s="1066"/>
      <c r="F132" s="1066"/>
      <c r="G132" s="641"/>
    </row>
    <row r="133">
      <c r="A133" s="199" t="s">
        <v>1770</v>
      </c>
      <c r="B133" s="199">
        <v>12.0</v>
      </c>
    </row>
    <row r="134">
      <c r="A134" s="199" t="s">
        <v>1482</v>
      </c>
      <c r="B134" s="199">
        <v>1.0</v>
      </c>
      <c r="C134" s="1065"/>
      <c r="D134" s="1064">
        <v>0.9</v>
      </c>
      <c r="E134" s="1064">
        <v>0.0</v>
      </c>
      <c r="F134" s="1064">
        <v>0.9</v>
      </c>
      <c r="G134" s="641">
        <v>1.0</v>
      </c>
      <c r="I134" s="457" t="str">
        <f t="array" ref="I134">SUM(VLOOKUP($I$1, INDIRECT("'"&amp;$A134&amp;"'"&amp;"!A15:Ag35"), {2*$B134, 2*$B134+1}, 0))</f>
        <v>#N/A</v>
      </c>
    </row>
    <row r="135">
      <c r="A135" s="199" t="s">
        <v>1482</v>
      </c>
      <c r="B135" s="199">
        <v>2.0</v>
      </c>
      <c r="C135" s="1065"/>
      <c r="D135" s="1064">
        <v>0.93</v>
      </c>
      <c r="E135" s="1064">
        <v>0.04</v>
      </c>
      <c r="F135" s="1064">
        <v>0.92</v>
      </c>
      <c r="G135" s="641">
        <v>1.0</v>
      </c>
      <c r="I135" s="457" t="str">
        <f t="array" ref="I135">SUM(VLOOKUP($I$1, INDIRECT("'"&amp;$A135&amp;"'"&amp;"!A15:Ag35"), {2*$B135, 2*$B135+1}, 0))</f>
        <v>#N/A</v>
      </c>
    </row>
    <row r="136">
      <c r="A136" s="199" t="s">
        <v>1482</v>
      </c>
      <c r="B136" s="199">
        <v>3.0</v>
      </c>
      <c r="C136" s="1065"/>
      <c r="D136" s="1064">
        <v>1.01</v>
      </c>
      <c r="E136" s="1064">
        <v>0.13</v>
      </c>
      <c r="F136" s="1064">
        <v>1.01</v>
      </c>
      <c r="G136" s="641">
        <v>1.0</v>
      </c>
      <c r="I136" s="457" t="str">
        <f t="array" ref="I136">SUM(VLOOKUP($I$1, INDIRECT("'"&amp;$A136&amp;"'"&amp;"!A15:Ag35"), {2*$B136, 2*$B136+1}, 0))</f>
        <v>#N/A</v>
      </c>
    </row>
    <row r="137">
      <c r="A137" s="199" t="s">
        <v>1482</v>
      </c>
      <c r="B137" s="199">
        <v>4.0</v>
      </c>
      <c r="C137" s="1065"/>
      <c r="D137" s="1064">
        <v>0.97</v>
      </c>
      <c r="E137" s="1064">
        <v>0.01</v>
      </c>
      <c r="F137" s="1064">
        <v>0.97</v>
      </c>
      <c r="G137" s="641">
        <v>0.65</v>
      </c>
    </row>
    <row r="138">
      <c r="A138" s="199" t="s">
        <v>1482</v>
      </c>
      <c r="B138" s="199">
        <v>5.0</v>
      </c>
      <c r="C138" s="1065"/>
      <c r="D138" s="1064">
        <v>0.96</v>
      </c>
      <c r="E138" s="1064">
        <v>0.03</v>
      </c>
      <c r="F138" s="1064">
        <v>0.96</v>
      </c>
      <c r="G138" s="641">
        <v>1.0</v>
      </c>
    </row>
    <row r="139">
      <c r="A139" s="199" t="s">
        <v>1482</v>
      </c>
      <c r="B139" s="199">
        <v>6.0</v>
      </c>
      <c r="C139" s="1065"/>
      <c r="D139" s="1064">
        <v>0.94</v>
      </c>
      <c r="E139" s="1064">
        <v>0.03</v>
      </c>
      <c r="F139" s="1064">
        <v>0.94</v>
      </c>
      <c r="G139" s="641">
        <v>1.0</v>
      </c>
    </row>
    <row r="140">
      <c r="A140" s="199" t="s">
        <v>1482</v>
      </c>
      <c r="B140" s="199">
        <v>7.0</v>
      </c>
      <c r="C140" s="1066"/>
      <c r="D140" s="1064">
        <v>0.99</v>
      </c>
      <c r="E140" s="1064">
        <v>0.01</v>
      </c>
      <c r="F140" s="1064">
        <v>0.99</v>
      </c>
      <c r="G140" s="641">
        <v>1.0</v>
      </c>
    </row>
    <row r="141">
      <c r="A141" s="199" t="s">
        <v>1482</v>
      </c>
      <c r="B141" s="199">
        <v>8.0</v>
      </c>
      <c r="C141" s="1066"/>
      <c r="D141" s="1064">
        <v>1.04</v>
      </c>
      <c r="E141" s="1064">
        <v>0.01</v>
      </c>
      <c r="F141" s="1064">
        <v>1.04</v>
      </c>
      <c r="G141" s="641">
        <v>1.0</v>
      </c>
    </row>
    <row r="142">
      <c r="A142" s="199" t="s">
        <v>1482</v>
      </c>
      <c r="B142" s="199">
        <v>9.0</v>
      </c>
      <c r="C142" s="1066"/>
      <c r="D142" s="1064">
        <v>0.93</v>
      </c>
      <c r="E142" s="1064">
        <v>0.03</v>
      </c>
      <c r="F142" s="1064">
        <v>0.93</v>
      </c>
      <c r="G142" s="641">
        <v>1.0</v>
      </c>
    </row>
    <row r="143">
      <c r="A143" s="199" t="s">
        <v>1482</v>
      </c>
      <c r="B143" s="199">
        <v>10.0</v>
      </c>
      <c r="C143" s="1066"/>
      <c r="D143" s="1066"/>
      <c r="E143" s="1066"/>
      <c r="F143" s="1066"/>
      <c r="G143" s="1065"/>
    </row>
    <row r="144">
      <c r="A144" s="199" t="s">
        <v>1482</v>
      </c>
      <c r="B144" s="199">
        <v>11.0</v>
      </c>
      <c r="C144" s="641"/>
      <c r="D144" s="1066"/>
      <c r="E144" s="1066"/>
      <c r="F144" s="1066"/>
      <c r="G144" s="641"/>
    </row>
    <row r="145">
      <c r="A145" s="199" t="s">
        <v>1482</v>
      </c>
      <c r="B145" s="199">
        <v>12.0</v>
      </c>
    </row>
    <row r="146">
      <c r="A146" s="199" t="s">
        <v>524</v>
      </c>
      <c r="B146" s="199">
        <v>1.0</v>
      </c>
      <c r="C146" s="1065"/>
      <c r="D146" s="1064">
        <v>0.59</v>
      </c>
      <c r="E146" s="1064">
        <v>0.21</v>
      </c>
      <c r="F146" s="1064">
        <v>1.04</v>
      </c>
      <c r="G146" s="641">
        <v>0.67</v>
      </c>
      <c r="I146" s="457" t="str">
        <f t="array" ref="I146">SUM(VLOOKUP($I$1, INDIRECT("'"&amp;$A146&amp;"'"&amp;"!A15:Ag35"), {2*$B146, 2*$B146+1}, 0))</f>
        <v>#N/A</v>
      </c>
    </row>
    <row r="147">
      <c r="A147" s="199" t="s">
        <v>524</v>
      </c>
      <c r="B147" s="199">
        <v>2.0</v>
      </c>
      <c r="C147" s="1065"/>
      <c r="D147" s="1064">
        <v>0.66</v>
      </c>
      <c r="E147" s="1064">
        <v>0.36</v>
      </c>
      <c r="F147" s="1064">
        <v>0.7</v>
      </c>
      <c r="G147" s="641">
        <v>0.5</v>
      </c>
      <c r="I147" s="457" t="str">
        <f t="array" ref="I147">SUM(VLOOKUP($I$1, INDIRECT("'"&amp;$A147&amp;"'"&amp;"!A15:Ag35"), {2*$B147, 2*$B147+1}, 0))</f>
        <v>#N/A</v>
      </c>
    </row>
    <row r="148">
      <c r="A148" s="199" t="s">
        <v>524</v>
      </c>
      <c r="B148" s="199">
        <v>3.0</v>
      </c>
      <c r="C148" s="1065"/>
      <c r="D148" s="1064">
        <v>0.68</v>
      </c>
      <c r="E148" s="1064">
        <v>0.32</v>
      </c>
      <c r="F148" s="1064">
        <v>0.57</v>
      </c>
      <c r="G148" s="641">
        <v>0.5</v>
      </c>
      <c r="I148" s="457" t="str">
        <f t="array" ref="I148">SUM(VLOOKUP($I$1, INDIRECT("'"&amp;$A148&amp;"'"&amp;"!A15:Ag35"), {2*$B148, 2*$B148+1, 2*$B148+2}, 0))</f>
        <v>#N/A</v>
      </c>
    </row>
    <row r="149">
      <c r="A149" s="199" t="s">
        <v>524</v>
      </c>
      <c r="B149" s="199">
        <v>4.0</v>
      </c>
      <c r="C149" s="1065"/>
      <c r="D149" s="1064">
        <v>0.96</v>
      </c>
      <c r="E149" s="1064">
        <v>0.25</v>
      </c>
      <c r="F149" s="1064">
        <v>0.5</v>
      </c>
      <c r="G149" s="641">
        <v>0.3</v>
      </c>
    </row>
    <row r="150">
      <c r="A150" s="199" t="s">
        <v>524</v>
      </c>
      <c r="B150" s="199">
        <v>5.0</v>
      </c>
      <c r="C150" s="1065"/>
      <c r="D150" s="1064">
        <v>0.94</v>
      </c>
      <c r="E150" s="1064">
        <v>0.19</v>
      </c>
      <c r="F150" s="1064">
        <v>0.81</v>
      </c>
      <c r="G150" s="641">
        <v>0.533</v>
      </c>
    </row>
    <row r="151">
      <c r="A151" s="199" t="s">
        <v>524</v>
      </c>
      <c r="B151" s="199">
        <v>6.0</v>
      </c>
      <c r="C151" s="1065"/>
      <c r="D151" s="1064">
        <v>0.83</v>
      </c>
      <c r="E151" s="1064">
        <v>0.5</v>
      </c>
      <c r="F151" s="1064">
        <v>0.57</v>
      </c>
      <c r="G151" s="641">
        <v>0.3</v>
      </c>
    </row>
    <row r="152">
      <c r="A152" s="199" t="s">
        <v>524</v>
      </c>
      <c r="B152" s="199">
        <v>7.0</v>
      </c>
      <c r="C152" s="1066"/>
      <c r="D152" s="1064">
        <v>0.61</v>
      </c>
      <c r="E152" s="1064">
        <v>0.2</v>
      </c>
      <c r="F152" s="1064">
        <v>0.82</v>
      </c>
      <c r="G152" s="1071">
        <v>1.0</v>
      </c>
    </row>
    <row r="153">
      <c r="A153" s="199" t="s">
        <v>524</v>
      </c>
      <c r="B153" s="199">
        <v>8.0</v>
      </c>
      <c r="C153" s="1066"/>
      <c r="D153" s="1064">
        <v>0.34</v>
      </c>
      <c r="E153" s="1064">
        <v>0.27</v>
      </c>
      <c r="F153" s="1064">
        <v>0.93</v>
      </c>
      <c r="G153" s="641">
        <v>0.65</v>
      </c>
    </row>
    <row r="154">
      <c r="A154" s="199" t="s">
        <v>524</v>
      </c>
      <c r="B154" s="199">
        <v>9.0</v>
      </c>
      <c r="C154" s="1066"/>
      <c r="D154" s="1064">
        <v>0.88</v>
      </c>
      <c r="E154" s="1064">
        <v>0.48</v>
      </c>
      <c r="F154" s="1064">
        <v>0.61</v>
      </c>
      <c r="G154" s="641">
        <v>0.3</v>
      </c>
    </row>
    <row r="155">
      <c r="A155" s="199" t="s">
        <v>524</v>
      </c>
      <c r="B155" s="199">
        <v>10.0</v>
      </c>
      <c r="C155" s="1066"/>
      <c r="D155" s="1064"/>
      <c r="E155" s="1066"/>
      <c r="F155" s="1066"/>
      <c r="G155" s="1065"/>
    </row>
    <row r="156">
      <c r="A156" s="199" t="s">
        <v>524</v>
      </c>
      <c r="B156" s="199">
        <v>11.0</v>
      </c>
      <c r="C156" s="641"/>
      <c r="D156" s="1066"/>
      <c r="E156" s="1066"/>
      <c r="F156" s="1066"/>
      <c r="G156" s="641"/>
    </row>
    <row r="157">
      <c r="A157" s="199" t="s">
        <v>524</v>
      </c>
      <c r="B157" s="199">
        <v>12.0</v>
      </c>
    </row>
    <row r="158">
      <c r="A158" s="199" t="s">
        <v>1771</v>
      </c>
      <c r="B158" s="199">
        <v>1.0</v>
      </c>
      <c r="C158" s="1065"/>
      <c r="D158" s="1064">
        <v>1.0</v>
      </c>
      <c r="E158" s="1064">
        <v>0.52</v>
      </c>
      <c r="F158" s="1064">
        <v>0.71</v>
      </c>
      <c r="G158" s="641">
        <v>0.666</v>
      </c>
      <c r="I158" s="457" t="str">
        <f t="array" ref="I158">SUM(VLOOKUP($I$1, INDIRECT("'"&amp;$A158&amp;"'"&amp;"!A15:Ag35"), {2*$B158, 2*$B158+1}, 0))</f>
        <v>#N/A</v>
      </c>
    </row>
    <row r="159">
      <c r="A159" s="199" t="s">
        <v>1771</v>
      </c>
      <c r="B159" s="199">
        <v>2.0</v>
      </c>
      <c r="C159" s="1065"/>
      <c r="D159" s="1064">
        <v>1.0</v>
      </c>
      <c r="E159" s="1064">
        <v>0.16</v>
      </c>
      <c r="F159" s="1064">
        <v>1.04</v>
      </c>
      <c r="G159" s="641">
        <v>1.0</v>
      </c>
      <c r="I159" s="457" t="str">
        <f t="array" ref="I159">SUM(VLOOKUP($I$1, INDIRECT("'"&amp;$A159&amp;"'"&amp;"!A15:Ag35"), {2*$B159, 2*$B159+1}, 0))</f>
        <v>#N/A</v>
      </c>
    </row>
    <row r="160">
      <c r="A160" s="199" t="s">
        <v>1771</v>
      </c>
      <c r="B160" s="199">
        <v>3.0</v>
      </c>
      <c r="C160" s="1065"/>
      <c r="D160" s="1064">
        <v>1.0</v>
      </c>
      <c r="E160" s="1064">
        <v>0.06</v>
      </c>
      <c r="F160" s="1064">
        <v>0.77</v>
      </c>
      <c r="G160" s="641">
        <v>0.5</v>
      </c>
      <c r="I160" s="457" t="str">
        <f t="array" ref="I160">SUM(VLOOKUP($I$1, INDIRECT("'"&amp;$A160&amp;"'"&amp;"!A15:Ag35"), {2*$B160, 2*$B160+1, 2*$B160+2}, 0))</f>
        <v>#N/A</v>
      </c>
    </row>
    <row r="161">
      <c r="A161" s="199" t="s">
        <v>1771</v>
      </c>
      <c r="B161" s="199">
        <v>4.0</v>
      </c>
      <c r="C161" s="1065"/>
      <c r="D161" s="1064">
        <v>1.0</v>
      </c>
      <c r="E161" s="1064">
        <v>0.92</v>
      </c>
      <c r="F161" s="1064">
        <v>0.82</v>
      </c>
      <c r="G161" s="641">
        <v>0.3</v>
      </c>
    </row>
    <row r="162">
      <c r="A162" s="199" t="s">
        <v>1771</v>
      </c>
      <c r="B162" s="199">
        <v>5.0</v>
      </c>
      <c r="C162" s="1065"/>
      <c r="D162" s="1064">
        <v>1.0</v>
      </c>
      <c r="E162" s="1064">
        <v>0.33</v>
      </c>
      <c r="F162" s="1064">
        <v>0.3</v>
      </c>
      <c r="G162" s="641">
        <v>0.3</v>
      </c>
    </row>
    <row r="163">
      <c r="A163" s="199" t="s">
        <v>1771</v>
      </c>
      <c r="B163" s="199">
        <v>6.0</v>
      </c>
      <c r="C163" s="1065"/>
      <c r="D163" s="1064">
        <v>1.0</v>
      </c>
      <c r="E163" s="1064">
        <v>0.16</v>
      </c>
      <c r="F163" s="1064">
        <v>0.59</v>
      </c>
      <c r="G163" s="641">
        <v>0.5</v>
      </c>
    </row>
    <row r="164">
      <c r="A164" s="199" t="s">
        <v>1771</v>
      </c>
      <c r="B164" s="199">
        <v>7.0</v>
      </c>
      <c r="C164" s="1066"/>
      <c r="D164" s="1064">
        <v>1.0</v>
      </c>
      <c r="E164" s="1064">
        <v>0.53</v>
      </c>
      <c r="F164" s="1064">
        <v>0.39</v>
      </c>
      <c r="G164" s="641">
        <v>0.3</v>
      </c>
    </row>
    <row r="165">
      <c r="A165" s="199" t="s">
        <v>1771</v>
      </c>
      <c r="B165" s="199">
        <v>8.0</v>
      </c>
      <c r="C165" s="1066"/>
      <c r="D165" s="1064">
        <v>1.0</v>
      </c>
      <c r="E165" s="1064">
        <v>0.71</v>
      </c>
      <c r="F165" s="1064">
        <v>0.46</v>
      </c>
      <c r="G165" s="641">
        <v>0.65</v>
      </c>
    </row>
    <row r="166">
      <c r="A166" s="199" t="s">
        <v>1771</v>
      </c>
      <c r="B166" s="199">
        <v>9.0</v>
      </c>
      <c r="C166" s="1066"/>
      <c r="D166" s="1064">
        <v>1.0</v>
      </c>
      <c r="E166" s="1064">
        <v>0.24</v>
      </c>
      <c r="F166" s="1064">
        <v>0.47</v>
      </c>
      <c r="G166" s="1071">
        <v>0.3</v>
      </c>
    </row>
    <row r="167">
      <c r="A167" s="199" t="s">
        <v>1771</v>
      </c>
      <c r="B167" s="199">
        <v>10.0</v>
      </c>
      <c r="C167" s="1066"/>
      <c r="D167" s="1064"/>
      <c r="E167" s="1066"/>
      <c r="F167" s="1066"/>
      <c r="G167" s="1065"/>
    </row>
    <row r="168">
      <c r="A168" s="199" t="s">
        <v>1771</v>
      </c>
      <c r="B168" s="199">
        <v>11.0</v>
      </c>
      <c r="C168" s="641"/>
      <c r="D168" s="1066"/>
      <c r="E168" s="1066"/>
      <c r="F168" s="1066"/>
      <c r="G168" s="641"/>
    </row>
    <row r="169">
      <c r="A169" s="199" t="s">
        <v>1771</v>
      </c>
      <c r="B169" s="199">
        <v>12.0</v>
      </c>
    </row>
    <row r="170">
      <c r="A170" s="199" t="s">
        <v>594</v>
      </c>
      <c r="B170" s="199">
        <v>1.0</v>
      </c>
      <c r="D170" s="1064">
        <v>0.64</v>
      </c>
      <c r="E170" s="1064">
        <v>0.28</v>
      </c>
      <c r="F170" s="1064">
        <v>0.56</v>
      </c>
      <c r="G170" s="1064">
        <v>0.33</v>
      </c>
      <c r="H170" s="1064"/>
    </row>
    <row r="171">
      <c r="A171" s="199" t="s">
        <v>594</v>
      </c>
      <c r="B171" s="199">
        <v>2.0</v>
      </c>
      <c r="D171" s="1064">
        <v>0.52</v>
      </c>
      <c r="E171" s="1064">
        <v>0.34</v>
      </c>
      <c r="F171" s="1064">
        <v>0.99</v>
      </c>
      <c r="G171" s="1064">
        <v>1.0</v>
      </c>
      <c r="H171" s="1064"/>
    </row>
    <row r="172">
      <c r="A172" s="199" t="s">
        <v>594</v>
      </c>
      <c r="B172" s="199">
        <v>3.0</v>
      </c>
      <c r="D172" s="1064">
        <v>0.85</v>
      </c>
      <c r="E172" s="1064">
        <v>0.2</v>
      </c>
      <c r="F172" s="1064">
        <v>1.02</v>
      </c>
      <c r="G172" s="1064">
        <v>1.0</v>
      </c>
      <c r="H172" s="1064"/>
    </row>
    <row r="173">
      <c r="A173" s="199" t="s">
        <v>594</v>
      </c>
      <c r="B173" s="199">
        <v>4.0</v>
      </c>
      <c r="D173" s="1064">
        <v>0.53</v>
      </c>
      <c r="E173" s="1064">
        <v>0.27</v>
      </c>
      <c r="F173" s="1064">
        <v>0.77</v>
      </c>
      <c r="G173" s="1064">
        <v>0.575</v>
      </c>
      <c r="H173" s="1064"/>
    </row>
    <row r="174">
      <c r="A174" s="199" t="s">
        <v>594</v>
      </c>
      <c r="B174" s="199">
        <v>5.0</v>
      </c>
      <c r="D174" s="1064">
        <v>0.67</v>
      </c>
      <c r="E174" s="1064">
        <v>0.31</v>
      </c>
      <c r="F174" s="1064">
        <v>0.78</v>
      </c>
      <c r="G174" s="1064">
        <v>0.533</v>
      </c>
      <c r="H174" s="1064"/>
    </row>
    <row r="175">
      <c r="A175" s="199" t="s">
        <v>594</v>
      </c>
      <c r="B175" s="199">
        <v>6.0</v>
      </c>
      <c r="D175" s="1064">
        <v>0.33</v>
      </c>
      <c r="E175" s="1064">
        <v>0.2</v>
      </c>
      <c r="F175" s="1064">
        <v>0.91</v>
      </c>
      <c r="G175" s="1064">
        <v>0.65</v>
      </c>
      <c r="H175" s="1064"/>
    </row>
    <row r="176">
      <c r="A176" s="199" t="s">
        <v>594</v>
      </c>
      <c r="B176" s="199">
        <v>7.0</v>
      </c>
      <c r="D176" s="1064">
        <v>0.72</v>
      </c>
      <c r="E176" s="1064">
        <v>0.33</v>
      </c>
      <c r="F176" s="1064">
        <v>1.1</v>
      </c>
      <c r="G176" s="1064">
        <v>1.0</v>
      </c>
      <c r="H176" s="1064"/>
    </row>
    <row r="177">
      <c r="A177" s="199" t="s">
        <v>594</v>
      </c>
      <c r="B177" s="199">
        <v>8.0</v>
      </c>
      <c r="D177" s="1064">
        <v>0.79</v>
      </c>
      <c r="E177" s="1064">
        <v>0.35</v>
      </c>
      <c r="F177" s="1064">
        <v>0.99</v>
      </c>
      <c r="G177" s="1064">
        <v>1.0</v>
      </c>
      <c r="H177" s="1064"/>
    </row>
    <row r="178">
      <c r="A178" s="199" t="s">
        <v>594</v>
      </c>
      <c r="B178" s="199">
        <v>9.0</v>
      </c>
      <c r="D178" s="1064">
        <v>0.9</v>
      </c>
      <c r="E178" s="1064">
        <v>0.21</v>
      </c>
      <c r="F178" s="1064">
        <v>0.78</v>
      </c>
      <c r="G178" s="1064">
        <v>0.65</v>
      </c>
      <c r="H178" s="1064"/>
    </row>
    <row r="179">
      <c r="A179" s="199" t="s">
        <v>594</v>
      </c>
      <c r="B179" s="199">
        <v>10.0</v>
      </c>
      <c r="D179" s="1064"/>
      <c r="E179" s="1064"/>
      <c r="F179" s="1064"/>
      <c r="G179" s="1064"/>
      <c r="H179" s="1064"/>
    </row>
    <row r="180">
      <c r="A180" s="199" t="s">
        <v>594</v>
      </c>
      <c r="B180" s="199">
        <v>11.0</v>
      </c>
      <c r="D180" s="1064"/>
      <c r="E180" s="1064"/>
      <c r="F180" s="1064"/>
      <c r="G180" s="1064"/>
      <c r="H180" s="1064"/>
    </row>
    <row r="181">
      <c r="A181" s="199" t="s">
        <v>594</v>
      </c>
      <c r="B181" s="199">
        <v>12.0</v>
      </c>
      <c r="D181" s="1064"/>
      <c r="E181" s="1064"/>
      <c r="F181" s="1064"/>
      <c r="G181" s="1064"/>
      <c r="H181" s="1064"/>
    </row>
    <row r="182">
      <c r="A182" s="199" t="s">
        <v>1772</v>
      </c>
      <c r="B182" s="199">
        <v>1.0</v>
      </c>
      <c r="C182" s="1065"/>
      <c r="D182" s="1069">
        <v>0.72</v>
      </c>
      <c r="E182" s="1069">
        <v>0.12</v>
      </c>
      <c r="F182" s="1069">
        <v>0.81</v>
      </c>
      <c r="G182" s="1069">
        <v>0.575</v>
      </c>
      <c r="H182" s="1064"/>
      <c r="I182" s="457" t="str">
        <f t="array" ref="I182">SUM(VLOOKUP($I$1, INDIRECT("'"&amp;$A182&amp;"'"&amp;"!A15:Ag35"), {2*$B182, 2*$B182+1, 2*$B182+2}, 0))</f>
        <v>#REF!</v>
      </c>
    </row>
    <row r="183">
      <c r="A183" s="199" t="s">
        <v>1772</v>
      </c>
      <c r="B183" s="199">
        <v>2.0</v>
      </c>
      <c r="C183" s="1065"/>
      <c r="D183" s="1064">
        <v>0.84</v>
      </c>
      <c r="E183" s="1064">
        <v>0.04</v>
      </c>
      <c r="F183" s="1064">
        <v>0.43</v>
      </c>
      <c r="G183" s="1064">
        <v>0.65</v>
      </c>
      <c r="H183" s="1064"/>
      <c r="I183" s="457" t="str">
        <f t="array" ref="I183">SUM(VLOOKUP($I$1, INDIRECT("'"&amp;$A183&amp;"'"&amp;"!A15:Ag35"), {2*$B183+2, 2*$B183+1}, 0))</f>
        <v>#REF!</v>
      </c>
    </row>
    <row r="184">
      <c r="A184" s="199" t="s">
        <v>1772</v>
      </c>
      <c r="B184" s="199">
        <v>3.0</v>
      </c>
      <c r="C184" s="1065"/>
      <c r="D184" s="1064">
        <v>0.73</v>
      </c>
      <c r="E184" s="1064">
        <v>0.14</v>
      </c>
      <c r="F184" s="1064">
        <v>0.94</v>
      </c>
      <c r="G184" s="641">
        <v>0.925</v>
      </c>
      <c r="H184" s="1064"/>
      <c r="I184" s="457" t="str">
        <f t="array" ref="I184">SUM(VLOOKUP($I$1, INDIRECT("'"&amp;$A184&amp;"'"&amp;"!A15:Ag35"), {2*$B184+2, 2*$B184+1}, 0))</f>
        <v>#REF!</v>
      </c>
    </row>
    <row r="185">
      <c r="A185" s="199" t="s">
        <v>1772</v>
      </c>
      <c r="B185" s="199">
        <v>4.0</v>
      </c>
      <c r="C185" s="1065"/>
      <c r="D185" s="1064">
        <v>0.95</v>
      </c>
      <c r="E185" s="1064">
        <v>0.1</v>
      </c>
      <c r="F185" s="1064">
        <v>0.92</v>
      </c>
      <c r="G185" s="1064">
        <v>1.0</v>
      </c>
      <c r="H185" s="1064"/>
    </row>
    <row r="186">
      <c r="A186" s="199" t="s">
        <v>1772</v>
      </c>
      <c r="B186" s="199">
        <v>5.0</v>
      </c>
      <c r="C186" s="1065"/>
      <c r="D186" s="1064">
        <v>0.78</v>
      </c>
      <c r="E186" s="1064">
        <v>0.1</v>
      </c>
      <c r="F186" s="1064">
        <v>0.77</v>
      </c>
      <c r="G186" s="1064">
        <v>0.77</v>
      </c>
      <c r="H186" s="1064"/>
    </row>
    <row r="187">
      <c r="A187" s="199" t="s">
        <v>1772</v>
      </c>
      <c r="B187" s="199">
        <v>6.0</v>
      </c>
      <c r="C187" s="1065"/>
      <c r="D187" s="1064">
        <v>0.82</v>
      </c>
      <c r="E187" s="1064">
        <v>0.12</v>
      </c>
      <c r="F187" s="1064">
        <v>0.8</v>
      </c>
      <c r="G187" s="1064">
        <v>0.225</v>
      </c>
      <c r="H187" s="1064"/>
    </row>
    <row r="188">
      <c r="A188" s="199" t="s">
        <v>1772</v>
      </c>
      <c r="B188" s="199">
        <v>7.0</v>
      </c>
      <c r="C188" s="1066"/>
      <c r="D188" s="1064">
        <v>0.73</v>
      </c>
      <c r="E188" s="1064">
        <v>0.18</v>
      </c>
      <c r="F188" s="1064">
        <v>0.84</v>
      </c>
      <c r="G188" s="1072">
        <v>1.0</v>
      </c>
      <c r="H188" s="1064"/>
    </row>
    <row r="189">
      <c r="A189" s="199" t="s">
        <v>1772</v>
      </c>
      <c r="B189" s="199">
        <v>8.0</v>
      </c>
      <c r="C189" s="1066"/>
      <c r="D189" s="1064">
        <v>0.81</v>
      </c>
      <c r="E189" s="1064">
        <v>0.33</v>
      </c>
      <c r="F189" s="1064">
        <v>0.91</v>
      </c>
      <c r="G189" s="1064">
        <v>1.0</v>
      </c>
      <c r="H189" s="1064"/>
    </row>
    <row r="190">
      <c r="A190" s="199" t="s">
        <v>1772</v>
      </c>
      <c r="B190" s="199">
        <v>9.0</v>
      </c>
      <c r="C190" s="1066"/>
      <c r="D190" s="1064">
        <v>0.69</v>
      </c>
      <c r="E190" s="1064">
        <v>0.23</v>
      </c>
      <c r="F190" s="1064">
        <v>0.94</v>
      </c>
      <c r="G190" s="1064">
        <v>1.0</v>
      </c>
      <c r="H190" s="1064"/>
    </row>
    <row r="191">
      <c r="A191" s="199" t="s">
        <v>1772</v>
      </c>
      <c r="B191" s="199">
        <v>10.0</v>
      </c>
      <c r="C191" s="1066"/>
      <c r="D191" s="1064"/>
      <c r="E191" s="1064"/>
      <c r="F191" s="1064"/>
      <c r="G191" s="1064"/>
      <c r="H191" s="1064"/>
    </row>
    <row r="192">
      <c r="A192" s="199" t="s">
        <v>1772</v>
      </c>
      <c r="B192" s="199">
        <v>11.0</v>
      </c>
      <c r="C192" s="641"/>
      <c r="D192" s="1064"/>
      <c r="E192" s="1064"/>
      <c r="F192" s="1064"/>
      <c r="G192" s="1064"/>
      <c r="H192" s="1064"/>
    </row>
    <row r="193">
      <c r="A193" s="199" t="s">
        <v>1772</v>
      </c>
      <c r="B193" s="199">
        <v>12.0</v>
      </c>
      <c r="D193" s="1064"/>
      <c r="E193" s="1064"/>
      <c r="F193" s="1064"/>
      <c r="G193" s="1064"/>
      <c r="H193" s="1064"/>
    </row>
    <row r="194">
      <c r="A194" s="199" t="s">
        <v>1007</v>
      </c>
      <c r="B194" s="199">
        <v>1.0</v>
      </c>
      <c r="C194" s="1065"/>
      <c r="D194" s="1064">
        <v>0.24</v>
      </c>
      <c r="E194" s="1064">
        <v>0.13</v>
      </c>
      <c r="F194" s="1064">
        <v>0.81</v>
      </c>
      <c r="G194" s="641">
        <v>0.65</v>
      </c>
      <c r="I194" s="457" t="str">
        <f t="array" ref="I194">SUM(VLOOKUP($I$1, INDIRECT("'"&amp;$A194&amp;"'"&amp;"!A15:Ag35"), {2*$B194, 2*$B194+1}, 0))</f>
        <v>#N/A</v>
      </c>
    </row>
    <row r="195">
      <c r="A195" s="199" t="s">
        <v>1007</v>
      </c>
      <c r="B195" s="199">
        <v>2.0</v>
      </c>
      <c r="C195" s="1065"/>
      <c r="D195" s="1064">
        <v>0.38</v>
      </c>
      <c r="E195" s="1064">
        <v>0.32</v>
      </c>
      <c r="F195" s="1064">
        <v>0.84</v>
      </c>
      <c r="G195" s="641">
        <v>1.0</v>
      </c>
      <c r="I195" s="457" t="str">
        <f t="array" ref="I195">SUM(VLOOKUP($I$1, INDIRECT("'"&amp;$A195&amp;"'"&amp;"!A15:Ag35"), {2*$B195, 2*$B195+1}, 0))</f>
        <v>#N/A</v>
      </c>
    </row>
    <row r="196">
      <c r="A196" s="199" t="s">
        <v>1007</v>
      </c>
      <c r="B196" s="199">
        <v>3.0</v>
      </c>
      <c r="C196" s="1065"/>
      <c r="D196" s="1064">
        <v>0.56</v>
      </c>
      <c r="E196" s="1064">
        <v>0.31</v>
      </c>
      <c r="F196" s="1064">
        <v>0.96</v>
      </c>
      <c r="G196" s="641">
        <v>1.0</v>
      </c>
      <c r="I196" s="457" t="str">
        <f t="array" ref="I196">SUM(VLOOKUP($I$1, INDIRECT("'"&amp;$A196&amp;"'"&amp;"!A15:Ag35"), {2*$B196, 2*$B196+1}, 0))</f>
        <v>#N/A</v>
      </c>
    </row>
    <row r="197">
      <c r="A197" s="199" t="s">
        <v>1007</v>
      </c>
      <c r="B197" s="199">
        <v>4.0</v>
      </c>
      <c r="C197" s="1065"/>
      <c r="D197" s="1064">
        <v>0.34</v>
      </c>
      <c r="E197" s="1064">
        <v>0.19</v>
      </c>
      <c r="F197" s="1064">
        <v>0.97</v>
      </c>
      <c r="G197" s="641">
        <v>1.0</v>
      </c>
    </row>
    <row r="198">
      <c r="A198" s="199" t="s">
        <v>1007</v>
      </c>
      <c r="B198" s="199">
        <v>5.0</v>
      </c>
      <c r="C198" s="1065"/>
      <c r="D198" s="1064">
        <v>0.38</v>
      </c>
      <c r="E198" s="1064">
        <v>0.23</v>
      </c>
      <c r="F198" s="1064">
        <v>0.7</v>
      </c>
      <c r="G198" s="641">
        <v>0.65</v>
      </c>
    </row>
    <row r="199">
      <c r="A199" s="199" t="s">
        <v>1007</v>
      </c>
      <c r="B199" s="199">
        <v>6.0</v>
      </c>
      <c r="C199" s="1065"/>
      <c r="D199" s="1064">
        <v>0.45</v>
      </c>
      <c r="E199" s="1064">
        <v>0.36</v>
      </c>
      <c r="F199" s="1064">
        <v>0.76</v>
      </c>
      <c r="G199" s="641">
        <v>0.925</v>
      </c>
    </row>
    <row r="200">
      <c r="A200" s="199" t="s">
        <v>1007</v>
      </c>
      <c r="B200" s="199">
        <v>7.0</v>
      </c>
      <c r="C200" s="1066"/>
      <c r="D200" s="1064">
        <v>0.58</v>
      </c>
      <c r="E200" s="1064">
        <v>0.38</v>
      </c>
      <c r="F200" s="1064">
        <v>0.94</v>
      </c>
      <c r="G200" s="641">
        <v>0.65</v>
      </c>
    </row>
    <row r="201">
      <c r="A201" s="199" t="s">
        <v>1007</v>
      </c>
      <c r="B201" s="199">
        <v>8.0</v>
      </c>
      <c r="C201" s="1066"/>
      <c r="D201" s="1064">
        <v>0.6</v>
      </c>
      <c r="E201" s="1064">
        <v>0.42</v>
      </c>
      <c r="F201" s="1064">
        <v>0.7</v>
      </c>
      <c r="G201" s="641">
        <v>0.65</v>
      </c>
    </row>
    <row r="202">
      <c r="A202" s="199" t="s">
        <v>1007</v>
      </c>
      <c r="B202" s="199">
        <v>9.0</v>
      </c>
      <c r="C202" s="1066"/>
      <c r="D202" s="1064">
        <v>0.34</v>
      </c>
      <c r="E202" s="1064">
        <v>0.32</v>
      </c>
      <c r="F202" s="1064">
        <v>0.86</v>
      </c>
      <c r="G202" s="641">
        <v>0.65</v>
      </c>
    </row>
    <row r="203">
      <c r="A203" s="199" t="s">
        <v>1007</v>
      </c>
      <c r="B203" s="199">
        <v>10.0</v>
      </c>
      <c r="C203" s="1066"/>
      <c r="D203" s="1066"/>
      <c r="E203" s="1066"/>
      <c r="F203" s="1066"/>
      <c r="G203" s="1065"/>
    </row>
    <row r="204">
      <c r="A204" s="199" t="s">
        <v>1007</v>
      </c>
      <c r="B204" s="199">
        <v>11.0</v>
      </c>
      <c r="C204" s="641"/>
      <c r="D204" s="1066"/>
      <c r="E204" s="1066"/>
      <c r="F204" s="1066"/>
      <c r="G204" s="641"/>
    </row>
    <row r="205">
      <c r="A205" s="199" t="s">
        <v>1007</v>
      </c>
      <c r="B205" s="199">
        <v>12.0</v>
      </c>
    </row>
    <row r="206">
      <c r="A206" s="199" t="s">
        <v>911</v>
      </c>
      <c r="B206" s="199">
        <v>1.0</v>
      </c>
      <c r="C206" s="1065"/>
      <c r="D206" s="1064">
        <v>0.36</v>
      </c>
      <c r="E206" s="1064">
        <v>0.26</v>
      </c>
      <c r="F206" s="1064">
        <v>0.81</v>
      </c>
      <c r="G206" s="641">
        <v>0.5</v>
      </c>
      <c r="I206" s="457" t="str">
        <f t="array" ref="I206">SUM(VLOOKUP($I$1, INDIRECT("'"&amp;$A206&amp;"'"&amp;"!A15:Ag35"), {2*$B206, 2*$B206+1}, 0))</f>
        <v>#N/A</v>
      </c>
    </row>
    <row r="207">
      <c r="A207" s="199" t="s">
        <v>911</v>
      </c>
      <c r="B207" s="199">
        <v>2.0</v>
      </c>
      <c r="C207" s="1065"/>
      <c r="D207" s="1064">
        <v>0.58</v>
      </c>
      <c r="E207" s="1064">
        <v>0.22</v>
      </c>
      <c r="F207" s="1064">
        <v>0.98</v>
      </c>
      <c r="G207" s="641">
        <v>1.0</v>
      </c>
      <c r="I207" s="457" t="str">
        <f t="array" ref="I207">SUM(VLOOKUP($I$1, INDIRECT("'"&amp;$A207&amp;"'"&amp;"!A15:Ag35"), {2*$B207, 2*$B207+1}, 0))</f>
        <v>#N/A</v>
      </c>
    </row>
    <row r="208">
      <c r="A208" s="199" t="s">
        <v>911</v>
      </c>
      <c r="B208" s="199">
        <v>3.0</v>
      </c>
      <c r="C208" s="1065"/>
      <c r="D208" s="1064">
        <v>0.58</v>
      </c>
      <c r="E208" s="1064">
        <v>0.26</v>
      </c>
      <c r="F208" s="1064">
        <v>0.87</v>
      </c>
      <c r="G208" s="641">
        <v>0.62</v>
      </c>
      <c r="I208" s="457" t="str">
        <f t="array" ref="I208">SUM(VLOOKUP($I$1, INDIRECT("'"&amp;$A208&amp;"'"&amp;"!A15:Ag35"), {2*$B208, 2*$B208+1}, 0))</f>
        <v>#N/A</v>
      </c>
    </row>
    <row r="209">
      <c r="A209" s="199" t="s">
        <v>911</v>
      </c>
      <c r="B209" s="199">
        <v>4.0</v>
      </c>
      <c r="C209" s="1065"/>
      <c r="D209" s="1064">
        <v>0.47</v>
      </c>
      <c r="E209" s="1064">
        <v>0.35</v>
      </c>
      <c r="F209" s="1064">
        <v>0.85</v>
      </c>
      <c r="G209" s="641">
        <v>0.5</v>
      </c>
    </row>
    <row r="210">
      <c r="A210" s="199" t="s">
        <v>911</v>
      </c>
      <c r="B210" s="199">
        <v>5.0</v>
      </c>
      <c r="C210" s="1065"/>
      <c r="D210" s="1064">
        <v>0.58</v>
      </c>
      <c r="E210" s="1064">
        <v>0.24</v>
      </c>
      <c r="F210" s="1064">
        <v>0.82</v>
      </c>
      <c r="G210" s="641">
        <v>0.58</v>
      </c>
    </row>
    <row r="211">
      <c r="A211" s="199" t="s">
        <v>911</v>
      </c>
      <c r="B211" s="199">
        <v>6.0</v>
      </c>
      <c r="C211" s="1065"/>
      <c r="D211" s="1064">
        <v>0.34</v>
      </c>
      <c r="E211" s="1064">
        <v>0.26</v>
      </c>
      <c r="F211" s="1064">
        <v>0.93</v>
      </c>
      <c r="G211" s="641">
        <v>0.65</v>
      </c>
    </row>
    <row r="212">
      <c r="A212" s="199" t="s">
        <v>911</v>
      </c>
      <c r="B212" s="199">
        <v>7.0</v>
      </c>
      <c r="C212" s="1066"/>
      <c r="D212" s="1064">
        <v>0.35</v>
      </c>
      <c r="E212" s="1064">
        <v>0.15</v>
      </c>
      <c r="F212" s="1064">
        <v>1.04</v>
      </c>
      <c r="G212" s="641">
        <v>1.0</v>
      </c>
    </row>
    <row r="213">
      <c r="A213" s="199" t="s">
        <v>911</v>
      </c>
      <c r="B213" s="199">
        <v>8.0</v>
      </c>
      <c r="C213" s="1066"/>
      <c r="D213" s="1064">
        <v>0.48</v>
      </c>
      <c r="E213" s="1064">
        <v>0.15</v>
      </c>
      <c r="F213" s="1064">
        <v>0.93</v>
      </c>
      <c r="G213" s="641">
        <v>0.65</v>
      </c>
    </row>
    <row r="214">
      <c r="A214" s="199" t="s">
        <v>911</v>
      </c>
      <c r="B214" s="199">
        <v>9.0</v>
      </c>
      <c r="C214" s="1066"/>
      <c r="D214" s="1064">
        <v>0.59</v>
      </c>
      <c r="E214" s="1064">
        <v>0.3</v>
      </c>
      <c r="F214" s="1064">
        <v>0.82</v>
      </c>
      <c r="G214" s="641">
        <v>0.3</v>
      </c>
    </row>
    <row r="215">
      <c r="A215" s="199" t="s">
        <v>911</v>
      </c>
      <c r="B215" s="199">
        <v>10.0</v>
      </c>
      <c r="C215" s="1066"/>
      <c r="D215" s="1066"/>
      <c r="E215" s="1066"/>
      <c r="F215" s="1066"/>
      <c r="G215" s="1065"/>
    </row>
    <row r="216">
      <c r="A216" s="199" t="s">
        <v>911</v>
      </c>
      <c r="B216" s="199">
        <v>11.0</v>
      </c>
      <c r="C216" s="641"/>
      <c r="D216" s="1066"/>
      <c r="E216" s="1066"/>
      <c r="F216" s="1066"/>
      <c r="G216" s="641"/>
    </row>
    <row r="217">
      <c r="A217" s="199" t="s">
        <v>911</v>
      </c>
      <c r="B217" s="199">
        <v>12.0</v>
      </c>
    </row>
    <row r="218">
      <c r="A218" s="199" t="s">
        <v>1773</v>
      </c>
      <c r="B218" s="199">
        <v>7.0</v>
      </c>
      <c r="D218" s="944">
        <v>0.76</v>
      </c>
      <c r="E218" s="944">
        <v>0.12</v>
      </c>
      <c r="F218" s="944">
        <v>0.94</v>
      </c>
      <c r="G218" s="944">
        <v>1.0</v>
      </c>
    </row>
    <row r="219">
      <c r="A219" s="199" t="s">
        <v>1773</v>
      </c>
      <c r="B219" s="199">
        <v>8.0</v>
      </c>
      <c r="D219" s="944">
        <v>0.74</v>
      </c>
      <c r="E219" s="944">
        <v>0.01</v>
      </c>
      <c r="F219" s="944">
        <v>0.81</v>
      </c>
      <c r="G219" s="944">
        <v>0.3</v>
      </c>
    </row>
    <row r="220">
      <c r="A220" s="199" t="s">
        <v>1773</v>
      </c>
      <c r="B220" s="199">
        <v>9.0</v>
      </c>
      <c r="D220" s="944">
        <v>0.27</v>
      </c>
      <c r="E220" s="944">
        <v>0.15</v>
      </c>
      <c r="F220" s="944">
        <v>0.69</v>
      </c>
      <c r="G220" s="944">
        <v>0.65</v>
      </c>
    </row>
    <row r="221">
      <c r="A221" s="199" t="s">
        <v>1773</v>
      </c>
      <c r="B221" s="199">
        <v>10.0</v>
      </c>
      <c r="D221" s="408"/>
      <c r="E221" s="408"/>
      <c r="F221" s="408"/>
      <c r="G221" s="408"/>
    </row>
    <row r="222">
      <c r="A222" s="199" t="s">
        <v>1773</v>
      </c>
      <c r="B222" s="199">
        <v>11.0</v>
      </c>
      <c r="D222" s="408"/>
      <c r="E222" s="408"/>
      <c r="F222" s="408"/>
      <c r="G222" s="408"/>
    </row>
    <row r="223">
      <c r="A223" s="199" t="s">
        <v>1773</v>
      </c>
      <c r="B223" s="199">
        <v>12.0</v>
      </c>
    </row>
    <row r="224">
      <c r="A224" s="199" t="s">
        <v>1560</v>
      </c>
      <c r="B224" s="199">
        <v>1.0</v>
      </c>
      <c r="C224" s="1065"/>
      <c r="D224" s="1064">
        <v>0.29</v>
      </c>
      <c r="E224" s="1064">
        <v>0.17</v>
      </c>
      <c r="F224" s="1064">
        <v>0.91</v>
      </c>
      <c r="G224" s="641">
        <v>0.85</v>
      </c>
      <c r="I224" s="457" t="str">
        <f t="array" ref="I224">SUM(VLOOKUP($I$1, INDIRECT("'"&amp;$A224&amp;"'"&amp;"!A15:Ag35"), {2*$B224, 2*$B224+1}, 0))</f>
        <v>#N/A</v>
      </c>
    </row>
    <row r="225">
      <c r="A225" s="199" t="s">
        <v>1560</v>
      </c>
      <c r="B225" s="199">
        <v>2.0</v>
      </c>
      <c r="C225" s="1065"/>
      <c r="D225" s="1064">
        <v>0.39</v>
      </c>
      <c r="E225" s="1064">
        <v>0.18</v>
      </c>
      <c r="F225" s="1064">
        <v>1.02</v>
      </c>
      <c r="G225" s="641">
        <v>1.0</v>
      </c>
      <c r="I225" s="457" t="str">
        <f t="array" ref="I225">SUM(VLOOKUP($I$1, INDIRECT("'"&amp;$A225&amp;"'"&amp;"!A15:Ag35"), {2*$B225, 2*$B225+1}, 0))</f>
        <v>#N/A</v>
      </c>
    </row>
    <row r="226">
      <c r="A226" s="199" t="s">
        <v>1560</v>
      </c>
      <c r="B226" s="199">
        <v>3.0</v>
      </c>
      <c r="C226" s="1065"/>
      <c r="D226" s="1064">
        <v>0.38</v>
      </c>
      <c r="E226" s="1064">
        <v>0.25</v>
      </c>
      <c r="F226" s="1064">
        <v>0.86</v>
      </c>
      <c r="G226" s="641">
        <v>0.575</v>
      </c>
      <c r="I226" s="457" t="str">
        <f t="array" ref="I226">SUM(VLOOKUP($I$1, INDIRECT("'"&amp;$A226&amp;"'"&amp;"!A15:Ag35"), {2*$B226, 2*$B226+1}, 0))</f>
        <v>#N/A</v>
      </c>
    </row>
    <row r="227">
      <c r="A227" s="199" t="s">
        <v>1560</v>
      </c>
      <c r="B227" s="199">
        <v>4.0</v>
      </c>
      <c r="C227" s="1065"/>
      <c r="D227" s="1064">
        <v>0.64</v>
      </c>
      <c r="E227" s="1064">
        <v>0.4</v>
      </c>
      <c r="F227" s="1064">
        <v>1.11</v>
      </c>
      <c r="G227" s="641">
        <v>1.0</v>
      </c>
    </row>
    <row r="228">
      <c r="A228" s="199" t="s">
        <v>1560</v>
      </c>
      <c r="B228" s="199">
        <v>5.0</v>
      </c>
      <c r="C228" s="1065"/>
      <c r="D228" s="1064">
        <v>0.55</v>
      </c>
      <c r="E228" s="1064">
        <v>0.2</v>
      </c>
      <c r="F228" s="1064">
        <v>0.85</v>
      </c>
      <c r="G228" s="641">
        <v>0.58</v>
      </c>
    </row>
    <row r="229">
      <c r="A229" s="199" t="s">
        <v>1560</v>
      </c>
      <c r="B229" s="199">
        <v>6.0</v>
      </c>
      <c r="C229" s="1065"/>
      <c r="D229" s="1064">
        <v>0.46</v>
      </c>
      <c r="E229" s="1064">
        <v>0.15</v>
      </c>
      <c r="F229" s="1064">
        <v>0.77</v>
      </c>
      <c r="G229" s="641">
        <v>0.5</v>
      </c>
    </row>
    <row r="230">
      <c r="A230" s="199" t="s">
        <v>1560</v>
      </c>
      <c r="B230" s="199">
        <v>7.0</v>
      </c>
      <c r="C230" s="1066"/>
      <c r="D230" s="1064">
        <v>0.38</v>
      </c>
      <c r="E230" s="1064">
        <v>0.04</v>
      </c>
      <c r="F230" s="1064">
        <v>0.82</v>
      </c>
      <c r="G230" s="641">
        <v>0.65</v>
      </c>
    </row>
    <row r="231">
      <c r="A231" s="199" t="s">
        <v>1560</v>
      </c>
      <c r="B231" s="199">
        <v>8.0</v>
      </c>
      <c r="C231" s="1066"/>
      <c r="D231" s="1064">
        <v>0.82</v>
      </c>
      <c r="E231" s="1064">
        <v>0.07</v>
      </c>
      <c r="F231" s="1064">
        <v>0.93</v>
      </c>
      <c r="G231" s="641">
        <v>1.0</v>
      </c>
    </row>
    <row r="232">
      <c r="A232" s="199" t="s">
        <v>1560</v>
      </c>
      <c r="B232" s="199">
        <v>9.0</v>
      </c>
      <c r="C232" s="1066"/>
      <c r="D232" s="1064">
        <v>0.89</v>
      </c>
      <c r="E232" s="1064">
        <v>0.12</v>
      </c>
      <c r="F232" s="1064">
        <v>0.91</v>
      </c>
      <c r="G232" s="641">
        <v>0.65</v>
      </c>
    </row>
    <row r="233">
      <c r="A233" s="199" t="s">
        <v>1560</v>
      </c>
      <c r="B233" s="199">
        <v>10.0</v>
      </c>
      <c r="C233" s="1066"/>
      <c r="D233" s="1066"/>
      <c r="E233" s="1066"/>
      <c r="F233" s="1066"/>
      <c r="G233" s="1065"/>
    </row>
    <row r="234">
      <c r="A234" s="199" t="s">
        <v>1560</v>
      </c>
      <c r="B234" s="199">
        <v>11.0</v>
      </c>
      <c r="C234" s="641"/>
      <c r="D234" s="1066"/>
      <c r="E234" s="1066"/>
      <c r="F234" s="1066"/>
      <c r="G234" s="641"/>
    </row>
    <row r="235">
      <c r="A235" s="199" t="s">
        <v>1560</v>
      </c>
      <c r="B235" s="199">
        <v>12.0</v>
      </c>
    </row>
    <row r="236">
      <c r="A236" s="199" t="s">
        <v>771</v>
      </c>
      <c r="B236" s="199">
        <v>1.0</v>
      </c>
      <c r="C236" s="1065"/>
      <c r="D236" s="1064">
        <v>0.73</v>
      </c>
      <c r="E236" s="944">
        <v>0.13</v>
      </c>
      <c r="F236" s="1064">
        <v>0.89</v>
      </c>
      <c r="G236" s="641">
        <v>0.5</v>
      </c>
    </row>
    <row r="237">
      <c r="A237" s="199" t="s">
        <v>771</v>
      </c>
      <c r="B237" s="199">
        <v>2.0</v>
      </c>
      <c r="C237" s="1065"/>
      <c r="D237" s="1064">
        <v>0.88</v>
      </c>
      <c r="E237" s="1064">
        <v>0.08</v>
      </c>
      <c r="F237" s="1064">
        <v>0.93</v>
      </c>
      <c r="G237" s="641">
        <v>1.0</v>
      </c>
    </row>
    <row r="238">
      <c r="A238" s="199" t="s">
        <v>771</v>
      </c>
      <c r="B238" s="199">
        <v>3.0</v>
      </c>
      <c r="C238" s="1065"/>
      <c r="D238" s="1064">
        <v>0.84</v>
      </c>
      <c r="E238" s="1064">
        <v>0.07</v>
      </c>
      <c r="F238" s="1064">
        <v>0.97</v>
      </c>
      <c r="G238" s="641">
        <v>1.0</v>
      </c>
    </row>
    <row r="239">
      <c r="A239" s="199" t="s">
        <v>771</v>
      </c>
      <c r="B239" s="199">
        <v>4.0</v>
      </c>
      <c r="C239" s="1065"/>
      <c r="D239" s="1064">
        <v>0.79</v>
      </c>
      <c r="E239" s="1064">
        <v>0.11</v>
      </c>
      <c r="F239" s="1064">
        <v>0.95</v>
      </c>
      <c r="G239" s="641">
        <v>1.0</v>
      </c>
    </row>
    <row r="240">
      <c r="A240" s="199" t="s">
        <v>771</v>
      </c>
      <c r="B240" s="199">
        <v>5.0</v>
      </c>
      <c r="C240" s="1065"/>
      <c r="D240" s="1064">
        <v>0.71</v>
      </c>
      <c r="E240" s="1064">
        <v>0.13</v>
      </c>
      <c r="F240" s="1064">
        <v>0.85</v>
      </c>
      <c r="G240" s="641">
        <v>0.67</v>
      </c>
    </row>
    <row r="241">
      <c r="A241" s="199" t="s">
        <v>771</v>
      </c>
      <c r="B241" s="199">
        <v>6.0</v>
      </c>
      <c r="C241" s="1065"/>
      <c r="D241" s="1064">
        <v>0.83</v>
      </c>
      <c r="E241" s="1064">
        <v>0.16</v>
      </c>
      <c r="F241" s="1064">
        <v>0.7</v>
      </c>
      <c r="G241" s="641">
        <v>1.0</v>
      </c>
    </row>
    <row r="242">
      <c r="A242" s="199" t="s">
        <v>771</v>
      </c>
      <c r="B242" s="199">
        <v>7.0</v>
      </c>
      <c r="C242" s="1066"/>
      <c r="D242" s="1064">
        <v>0.67</v>
      </c>
      <c r="E242" s="1064">
        <v>0.14</v>
      </c>
      <c r="F242" s="1064">
        <v>0.6</v>
      </c>
      <c r="G242" s="641">
        <v>1.0</v>
      </c>
    </row>
    <row r="243">
      <c r="A243" s="199" t="s">
        <v>771</v>
      </c>
      <c r="B243" s="199">
        <v>8.0</v>
      </c>
      <c r="C243" s="1066"/>
      <c r="D243" s="1064">
        <v>0.9</v>
      </c>
      <c r="E243" s="1064">
        <v>0.05</v>
      </c>
      <c r="F243" s="1064">
        <v>0.79</v>
      </c>
      <c r="G243" s="641">
        <v>1.0</v>
      </c>
    </row>
    <row r="244">
      <c r="A244" s="199" t="s">
        <v>771</v>
      </c>
      <c r="B244" s="199">
        <v>9.0</v>
      </c>
      <c r="C244" s="1066"/>
      <c r="D244" s="1064">
        <v>0.79</v>
      </c>
      <c r="E244" s="1064">
        <v>0.23</v>
      </c>
      <c r="F244" s="1064">
        <v>0.86</v>
      </c>
      <c r="G244" s="641">
        <v>1.0</v>
      </c>
    </row>
    <row r="245">
      <c r="A245" s="199" t="s">
        <v>771</v>
      </c>
      <c r="B245" s="199">
        <v>10.0</v>
      </c>
      <c r="C245" s="1066"/>
      <c r="D245" s="1066"/>
      <c r="E245" s="1066"/>
      <c r="F245" s="1066"/>
      <c r="G245" s="1065"/>
    </row>
    <row r="246">
      <c r="A246" s="199" t="s">
        <v>771</v>
      </c>
      <c r="B246" s="199">
        <v>11.0</v>
      </c>
      <c r="C246" s="641"/>
      <c r="D246" s="1066"/>
      <c r="E246" s="1066"/>
      <c r="F246" s="1066"/>
      <c r="G246" s="641"/>
    </row>
    <row r="247">
      <c r="A247" s="199" t="s">
        <v>771</v>
      </c>
      <c r="B247" s="199">
        <v>12.0</v>
      </c>
    </row>
    <row r="248">
      <c r="A248" s="199" t="s">
        <v>1774</v>
      </c>
      <c r="B248" s="199">
        <v>1.0</v>
      </c>
      <c r="C248" s="1065"/>
      <c r="D248" s="1069">
        <v>0.59</v>
      </c>
      <c r="E248" s="1073">
        <v>0.28</v>
      </c>
      <c r="F248" s="1069">
        <v>0.72</v>
      </c>
      <c r="G248" s="1070">
        <v>0.3</v>
      </c>
    </row>
    <row r="249">
      <c r="A249" s="199" t="s">
        <v>1774</v>
      </c>
      <c r="B249" s="199">
        <v>2.0</v>
      </c>
      <c r="C249" s="1065"/>
      <c r="D249" s="1064">
        <v>0.64</v>
      </c>
      <c r="E249" s="1064">
        <v>0.24</v>
      </c>
      <c r="F249" s="1064">
        <v>0.87</v>
      </c>
      <c r="G249" s="641">
        <v>0.51</v>
      </c>
    </row>
    <row r="250">
      <c r="A250" s="199" t="s">
        <v>1774</v>
      </c>
      <c r="B250" s="199">
        <v>3.0</v>
      </c>
      <c r="C250" s="1065"/>
      <c r="D250" s="1064">
        <v>0.56</v>
      </c>
      <c r="E250" s="1064">
        <v>0.19</v>
      </c>
      <c r="F250" s="1064">
        <v>0.65</v>
      </c>
      <c r="G250" s="641">
        <v>0.3</v>
      </c>
    </row>
    <row r="251">
      <c r="A251" s="199" t="s">
        <v>1774</v>
      </c>
      <c r="B251" s="199">
        <v>4.0</v>
      </c>
      <c r="C251" s="1065"/>
      <c r="D251" s="1064">
        <v>0.84</v>
      </c>
      <c r="E251" s="1064">
        <v>0.2</v>
      </c>
      <c r="F251" s="1064">
        <v>0.91</v>
      </c>
      <c r="G251" s="641">
        <v>1.0</v>
      </c>
    </row>
    <row r="252">
      <c r="A252" s="199" t="s">
        <v>1774</v>
      </c>
      <c r="B252" s="199">
        <v>5.0</v>
      </c>
      <c r="C252" s="1065"/>
      <c r="D252" s="1064">
        <v>0.75</v>
      </c>
      <c r="E252" s="1064">
        <v>0.26</v>
      </c>
      <c r="F252" s="1064">
        <v>0.88</v>
      </c>
      <c r="G252" s="641">
        <v>1.0</v>
      </c>
    </row>
    <row r="253">
      <c r="A253" s="199" t="s">
        <v>1774</v>
      </c>
      <c r="B253" s="199">
        <v>6.0</v>
      </c>
      <c r="C253" s="1065"/>
      <c r="D253" s="1064">
        <v>0.8</v>
      </c>
      <c r="E253" s="1064">
        <v>0.28</v>
      </c>
      <c r="F253" s="1064">
        <v>0.85</v>
      </c>
      <c r="G253" s="641">
        <v>1.0</v>
      </c>
    </row>
    <row r="254">
      <c r="A254" s="199" t="s">
        <v>1774</v>
      </c>
      <c r="B254" s="199">
        <v>7.0</v>
      </c>
      <c r="C254" s="1066"/>
      <c r="D254" s="1064">
        <v>0.72</v>
      </c>
      <c r="E254" s="1064">
        <v>0.2</v>
      </c>
      <c r="F254" s="1064">
        <v>0.92</v>
      </c>
      <c r="G254" s="641">
        <v>1.0</v>
      </c>
    </row>
    <row r="255">
      <c r="A255" s="199" t="s">
        <v>1774</v>
      </c>
      <c r="B255" s="199">
        <v>8.0</v>
      </c>
      <c r="C255" s="1066"/>
      <c r="D255" s="1064">
        <v>0.64</v>
      </c>
      <c r="E255" s="1064">
        <v>0.25</v>
      </c>
      <c r="F255" s="1064">
        <v>0.88</v>
      </c>
      <c r="G255" s="641">
        <v>1.0</v>
      </c>
    </row>
    <row r="256">
      <c r="A256" s="199" t="s">
        <v>1774</v>
      </c>
      <c r="B256" s="199">
        <v>9.0</v>
      </c>
      <c r="C256" s="1066"/>
      <c r="D256" s="1064">
        <v>0.75</v>
      </c>
      <c r="E256" s="1064">
        <v>0.22</v>
      </c>
      <c r="F256" s="1064">
        <v>0.68</v>
      </c>
      <c r="G256" s="641">
        <v>0.0</v>
      </c>
    </row>
    <row r="257">
      <c r="A257" s="199" t="s">
        <v>1774</v>
      </c>
      <c r="B257" s="199">
        <v>10.0</v>
      </c>
      <c r="C257" s="1066"/>
      <c r="D257" s="1066"/>
      <c r="E257" s="1066"/>
      <c r="F257" s="1066"/>
      <c r="G257" s="1065"/>
    </row>
    <row r="258">
      <c r="A258" s="199" t="s">
        <v>1774</v>
      </c>
      <c r="B258" s="199">
        <v>11.0</v>
      </c>
      <c r="C258" s="641"/>
      <c r="D258" s="1066"/>
      <c r="E258" s="1066"/>
      <c r="F258" s="1066"/>
      <c r="G258" s="641"/>
    </row>
    <row r="259">
      <c r="A259" s="199" t="s">
        <v>1774</v>
      </c>
      <c r="B259" s="199">
        <v>12.0</v>
      </c>
    </row>
    <row r="260">
      <c r="A260" s="199" t="s">
        <v>1775</v>
      </c>
      <c r="B260" s="199">
        <v>1.0</v>
      </c>
      <c r="C260" s="1065"/>
      <c r="D260" s="1064">
        <v>0.56</v>
      </c>
      <c r="E260" s="1064">
        <v>0.145</v>
      </c>
      <c r="F260" s="1064">
        <v>0.885</v>
      </c>
      <c r="G260" s="1064">
        <v>0.83</v>
      </c>
      <c r="I260" s="1074" t="str">
        <f t="shared" ref="I260:I262" si="1">SUM(I14,I26)</f>
        <v>#N/A</v>
      </c>
    </row>
    <row r="261">
      <c r="A261" s="199" t="s">
        <v>1775</v>
      </c>
      <c r="B261" s="199">
        <v>2.0</v>
      </c>
      <c r="C261" s="1065"/>
      <c r="D261" s="1064">
        <v>0.65</v>
      </c>
      <c r="E261" s="1064">
        <v>0.2</v>
      </c>
      <c r="F261" s="1064">
        <v>0.905</v>
      </c>
      <c r="G261" s="641">
        <v>0.48</v>
      </c>
      <c r="I261" s="1074" t="str">
        <f t="shared" si="1"/>
        <v>#N/A</v>
      </c>
    </row>
    <row r="262">
      <c r="A262" s="199" t="s">
        <v>1775</v>
      </c>
      <c r="B262" s="199">
        <v>3.0</v>
      </c>
      <c r="C262" s="1065"/>
      <c r="D262" s="1064">
        <v>0.64</v>
      </c>
      <c r="E262" s="1064">
        <v>0.26</v>
      </c>
      <c r="F262" s="1064">
        <v>0.905</v>
      </c>
      <c r="G262" s="641">
        <v>0.53</v>
      </c>
      <c r="I262" s="1074" t="str">
        <f t="shared" si="1"/>
        <v>#N/A</v>
      </c>
    </row>
    <row r="263">
      <c r="A263" s="199" t="s">
        <v>1775</v>
      </c>
      <c r="B263" s="199">
        <v>4.0</v>
      </c>
      <c r="C263" s="1065"/>
      <c r="D263" s="1064">
        <v>0.68</v>
      </c>
      <c r="E263" s="1064">
        <v>0.195</v>
      </c>
      <c r="F263" s="1064">
        <v>0.985</v>
      </c>
      <c r="G263" s="641">
        <v>0.65</v>
      </c>
    </row>
    <row r="264">
      <c r="A264" s="199" t="s">
        <v>1775</v>
      </c>
      <c r="B264" s="199">
        <v>5.0</v>
      </c>
      <c r="C264" s="1065"/>
      <c r="D264" s="1064">
        <v>0.68</v>
      </c>
      <c r="E264" s="1064">
        <v>0.235</v>
      </c>
      <c r="F264" s="1064">
        <v>0.92</v>
      </c>
      <c r="G264" s="641">
        <v>0.61</v>
      </c>
    </row>
    <row r="265">
      <c r="A265" s="199" t="s">
        <v>1775</v>
      </c>
      <c r="B265" s="199">
        <v>6.0</v>
      </c>
      <c r="C265" s="1065"/>
      <c r="D265" s="1064">
        <v>0.73</v>
      </c>
      <c r="E265" s="1064">
        <v>0.29</v>
      </c>
      <c r="F265" s="1064">
        <v>0.99</v>
      </c>
      <c r="G265" s="641">
        <v>1.0</v>
      </c>
    </row>
    <row r="266">
      <c r="A266" s="199" t="s">
        <v>1775</v>
      </c>
      <c r="B266" s="199">
        <v>7.0</v>
      </c>
      <c r="C266" s="1065"/>
      <c r="D266" s="641">
        <v>0.765</v>
      </c>
      <c r="E266" s="641">
        <v>0.15</v>
      </c>
      <c r="F266" s="641">
        <v>0.99</v>
      </c>
      <c r="G266" s="641">
        <v>0.65</v>
      </c>
    </row>
    <row r="267">
      <c r="A267" s="199" t="s">
        <v>1775</v>
      </c>
      <c r="B267" s="199">
        <v>8.0</v>
      </c>
      <c r="C267" s="1065"/>
      <c r="D267" s="641">
        <v>0.69</v>
      </c>
      <c r="E267" s="641">
        <v>0.16</v>
      </c>
      <c r="F267" s="641">
        <v>0.95</v>
      </c>
      <c r="G267" s="641">
        <v>0.88</v>
      </c>
    </row>
    <row r="268">
      <c r="A268" s="199" t="s">
        <v>1775</v>
      </c>
      <c r="B268" s="199">
        <v>9.0</v>
      </c>
      <c r="C268" s="1065"/>
      <c r="D268" s="641">
        <v>0.625</v>
      </c>
      <c r="E268" s="641">
        <v>0.2</v>
      </c>
      <c r="F268" s="641">
        <v>0.885</v>
      </c>
      <c r="G268" s="641">
        <v>0.48</v>
      </c>
    </row>
    <row r="269">
      <c r="A269" s="199" t="s">
        <v>1775</v>
      </c>
      <c r="B269" s="199">
        <v>10.0</v>
      </c>
      <c r="C269" s="1065"/>
      <c r="D269" s="1065"/>
      <c r="E269" s="1065"/>
      <c r="F269" s="1065"/>
      <c r="G269" s="1065"/>
    </row>
    <row r="270">
      <c r="A270" s="199" t="s">
        <v>1775</v>
      </c>
      <c r="B270" s="199">
        <v>11.0</v>
      </c>
      <c r="C270" s="1065"/>
      <c r="D270" s="1065"/>
      <c r="E270" s="1065"/>
      <c r="F270" s="1065"/>
      <c r="G270" s="1065"/>
    </row>
    <row r="271">
      <c r="A271" s="199" t="s">
        <v>1775</v>
      </c>
      <c r="B271" s="199">
        <v>12.0</v>
      </c>
      <c r="C271" s="1065"/>
      <c r="D271" s="1065"/>
      <c r="E271" s="1065"/>
      <c r="F271" s="1065"/>
      <c r="G271" s="1065"/>
    </row>
    <row r="272">
      <c r="A272" s="199" t="s">
        <v>1776</v>
      </c>
      <c r="B272" s="199">
        <v>1.0</v>
      </c>
      <c r="D272" s="1064">
        <v>0.93</v>
      </c>
      <c r="E272" s="1064">
        <v>0.183</v>
      </c>
      <c r="F272" s="1064">
        <v>0.753</v>
      </c>
      <c r="G272" s="1064">
        <v>0.72</v>
      </c>
      <c r="I272" s="1074" t="str">
        <f t="shared" ref="I272:I274" si="2">SUM(I74,I86,I62)</f>
        <v>#N/A</v>
      </c>
    </row>
    <row r="273">
      <c r="A273" s="199" t="s">
        <v>1776</v>
      </c>
      <c r="B273" s="199">
        <v>2.0</v>
      </c>
      <c r="D273" s="1064">
        <v>0.937</v>
      </c>
      <c r="E273" s="1064">
        <v>0.327</v>
      </c>
      <c r="F273" s="1064">
        <v>1.033</v>
      </c>
      <c r="G273" s="1064">
        <v>0.72</v>
      </c>
      <c r="I273" s="1074" t="str">
        <f t="shared" si="2"/>
        <v>#N/A</v>
      </c>
    </row>
    <row r="274">
      <c r="A274" s="199" t="s">
        <v>1776</v>
      </c>
      <c r="B274" s="199">
        <v>3.0</v>
      </c>
      <c r="D274" s="1064">
        <v>0.93</v>
      </c>
      <c r="E274" s="1064">
        <v>0.38</v>
      </c>
      <c r="F274" s="1064">
        <v>0.893</v>
      </c>
      <c r="G274" s="1064">
        <v>0.73</v>
      </c>
      <c r="I274" s="1074" t="str">
        <f t="shared" si="2"/>
        <v>#N/A</v>
      </c>
    </row>
    <row r="275">
      <c r="A275" s="199" t="s">
        <v>1776</v>
      </c>
      <c r="B275" s="199">
        <v>4.0</v>
      </c>
      <c r="D275" s="1064">
        <v>0.883</v>
      </c>
      <c r="E275" s="1064">
        <v>0.375</v>
      </c>
      <c r="F275" s="1064">
        <v>0.75</v>
      </c>
      <c r="G275" s="1064">
        <v>0.53</v>
      </c>
    </row>
    <row r="276">
      <c r="A276" s="199" t="s">
        <v>1776</v>
      </c>
      <c r="B276" s="199">
        <v>5.0</v>
      </c>
      <c r="D276" s="1064">
        <v>0.883</v>
      </c>
      <c r="E276" s="1064">
        <v>0.243</v>
      </c>
      <c r="F276" s="944">
        <v>0.827</v>
      </c>
      <c r="G276" s="1064">
        <v>0.85</v>
      </c>
    </row>
    <row r="277">
      <c r="A277" s="199" t="s">
        <v>1776</v>
      </c>
      <c r="B277" s="199">
        <v>6.0</v>
      </c>
      <c r="D277" s="1064">
        <v>0.88</v>
      </c>
      <c r="E277" s="1064">
        <v>0.327</v>
      </c>
      <c r="F277" s="944">
        <v>0.857</v>
      </c>
      <c r="G277" s="1064">
        <v>0.77</v>
      </c>
    </row>
    <row r="278">
      <c r="A278" s="199" t="s">
        <v>1776</v>
      </c>
      <c r="B278" s="199">
        <v>7.0</v>
      </c>
      <c r="D278" s="1064">
        <v>0.81</v>
      </c>
      <c r="E278" s="1064">
        <v>0.143</v>
      </c>
      <c r="F278" s="944">
        <v>0.83</v>
      </c>
      <c r="G278" s="1064">
        <v>0.77</v>
      </c>
    </row>
    <row r="279">
      <c r="A279" s="199" t="s">
        <v>1776</v>
      </c>
      <c r="B279" s="199">
        <v>8.0</v>
      </c>
      <c r="D279" s="1064">
        <v>0.91</v>
      </c>
      <c r="E279" s="1064">
        <v>0.243</v>
      </c>
      <c r="F279" s="944">
        <v>0.88</v>
      </c>
      <c r="G279" s="1064">
        <v>0.86</v>
      </c>
    </row>
    <row r="280">
      <c r="A280" s="199" t="s">
        <v>1776</v>
      </c>
      <c r="B280" s="199">
        <v>9.0</v>
      </c>
      <c r="D280" s="1064">
        <v>0.897</v>
      </c>
      <c r="E280" s="1064">
        <v>0.497</v>
      </c>
      <c r="F280" s="944">
        <v>0.717</v>
      </c>
      <c r="G280" s="1064">
        <v>0.65</v>
      </c>
    </row>
    <row r="281">
      <c r="A281" s="199" t="s">
        <v>1776</v>
      </c>
      <c r="B281" s="199">
        <v>10.0</v>
      </c>
      <c r="D281" s="1064"/>
      <c r="E281" s="1064"/>
      <c r="F281" s="944"/>
    </row>
    <row r="282">
      <c r="A282" s="199" t="s">
        <v>1776</v>
      </c>
      <c r="B282" s="199">
        <v>11.0</v>
      </c>
      <c r="D282" s="1064"/>
      <c r="E282" s="1064"/>
      <c r="F282" s="944"/>
    </row>
    <row r="283">
      <c r="A283" s="199" t="s">
        <v>1776</v>
      </c>
      <c r="B283" s="199">
        <v>12.0</v>
      </c>
      <c r="D283" s="1064"/>
      <c r="E283" s="1064"/>
      <c r="F283" s="944"/>
    </row>
    <row r="284">
      <c r="A284" s="199" t="s">
        <v>1777</v>
      </c>
      <c r="B284" s="199">
        <v>1.0</v>
      </c>
      <c r="D284" s="1064">
        <v>0.505</v>
      </c>
      <c r="E284" s="1064">
        <v>0.175</v>
      </c>
      <c r="F284" s="1064">
        <v>0.715</v>
      </c>
      <c r="G284" s="1064">
        <v>0.58</v>
      </c>
      <c r="I284" s="1074" t="str">
        <f t="shared" ref="I284:I286" si="3">SUM(I110,I122)</f>
        <v>#N/A</v>
      </c>
    </row>
    <row r="285">
      <c r="A285" s="199" t="s">
        <v>1777</v>
      </c>
      <c r="B285" s="199">
        <v>2.0</v>
      </c>
      <c r="D285" s="1064">
        <v>0.69</v>
      </c>
      <c r="E285" s="1064">
        <v>0.205</v>
      </c>
      <c r="F285" s="1064">
        <v>0.87</v>
      </c>
      <c r="G285" s="1064">
        <v>0.65</v>
      </c>
      <c r="I285" s="1074" t="str">
        <f t="shared" si="3"/>
        <v>#N/A</v>
      </c>
    </row>
    <row r="286">
      <c r="A286" s="199" t="s">
        <v>1777</v>
      </c>
      <c r="B286" s="199">
        <v>3.0</v>
      </c>
      <c r="D286" s="1064">
        <v>0.635</v>
      </c>
      <c r="E286" s="1064">
        <v>0.23</v>
      </c>
      <c r="F286" s="1064">
        <v>0.8</v>
      </c>
      <c r="G286" s="1064">
        <v>0.75</v>
      </c>
      <c r="I286" s="1074" t="str">
        <f t="shared" si="3"/>
        <v>#N/A</v>
      </c>
    </row>
    <row r="287">
      <c r="A287" s="199" t="s">
        <v>1777</v>
      </c>
      <c r="B287" s="199">
        <v>4.0</v>
      </c>
      <c r="D287" s="1064">
        <v>0.82</v>
      </c>
      <c r="E287" s="1064">
        <v>0.31</v>
      </c>
      <c r="F287" s="1064">
        <v>0.64</v>
      </c>
      <c r="G287" s="1064">
        <v>0.48</v>
      </c>
    </row>
    <row r="288">
      <c r="A288" s="199" t="s">
        <v>1777</v>
      </c>
      <c r="B288" s="199">
        <v>5.0</v>
      </c>
      <c r="D288" s="1064">
        <v>0.725</v>
      </c>
      <c r="E288" s="1064">
        <v>0.33</v>
      </c>
      <c r="F288" s="1064">
        <v>0.83</v>
      </c>
      <c r="G288" s="1064">
        <v>0.83</v>
      </c>
    </row>
    <row r="289">
      <c r="A289" s="199" t="s">
        <v>1777</v>
      </c>
      <c r="B289" s="199">
        <v>6.0</v>
      </c>
      <c r="D289" s="1064">
        <v>0.77</v>
      </c>
      <c r="E289" s="1064">
        <v>0.405</v>
      </c>
      <c r="F289" s="1064">
        <v>0.7</v>
      </c>
      <c r="G289" s="1064">
        <v>0.25</v>
      </c>
    </row>
    <row r="290">
      <c r="A290" s="199" t="s">
        <v>1777</v>
      </c>
      <c r="B290" s="199">
        <v>7.0</v>
      </c>
      <c r="D290" s="1064">
        <v>0.765</v>
      </c>
      <c r="E290" s="1064">
        <v>0.455</v>
      </c>
      <c r="F290" s="1064">
        <v>0.445</v>
      </c>
      <c r="G290" s="1064">
        <v>0.33</v>
      </c>
    </row>
    <row r="291">
      <c r="A291" s="199" t="s">
        <v>1777</v>
      </c>
      <c r="B291" s="199">
        <v>8.0</v>
      </c>
      <c r="D291" s="1064">
        <v>0.715</v>
      </c>
      <c r="E291" s="1064">
        <v>0.38</v>
      </c>
      <c r="F291" s="1064">
        <v>0.765</v>
      </c>
      <c r="G291" s="1064">
        <v>0.3</v>
      </c>
    </row>
    <row r="292">
      <c r="A292" s="199" t="s">
        <v>1777</v>
      </c>
      <c r="B292" s="199">
        <v>9.0</v>
      </c>
      <c r="D292" s="1064">
        <v>0.675</v>
      </c>
      <c r="E292" s="1064">
        <v>0.435</v>
      </c>
      <c r="F292" s="1064">
        <v>0.74</v>
      </c>
      <c r="G292" s="1064">
        <v>0.54</v>
      </c>
    </row>
    <row r="293">
      <c r="A293" s="199" t="s">
        <v>1777</v>
      </c>
      <c r="B293" s="199">
        <v>10.0</v>
      </c>
      <c r="D293" s="1064"/>
      <c r="E293" s="1064"/>
      <c r="F293" s="1064"/>
    </row>
    <row r="294">
      <c r="A294" s="199" t="s">
        <v>1777</v>
      </c>
      <c r="B294" s="199">
        <v>11.0</v>
      </c>
      <c r="D294" s="1064"/>
      <c r="E294" s="1064"/>
      <c r="F294" s="1064"/>
    </row>
    <row r="295">
      <c r="A295" s="199" t="s">
        <v>1777</v>
      </c>
      <c r="B295" s="199">
        <v>12.0</v>
      </c>
      <c r="D295" s="1064"/>
      <c r="E295" s="1064"/>
      <c r="F295" s="1064"/>
    </row>
    <row r="296">
      <c r="A296" s="199" t="s">
        <v>1778</v>
      </c>
      <c r="B296" s="199">
        <v>1.0</v>
      </c>
      <c r="D296" s="641">
        <v>0.743</v>
      </c>
      <c r="E296" s="641">
        <v>0.337</v>
      </c>
      <c r="F296" s="641">
        <v>0.77</v>
      </c>
      <c r="G296" s="641">
        <v>0.56</v>
      </c>
      <c r="I296" s="1074" t="str">
        <f t="shared" ref="I296:I298" si="4">SUM(I146,I158)</f>
        <v>#N/A</v>
      </c>
    </row>
    <row r="297">
      <c r="A297" s="199" t="s">
        <v>1778</v>
      </c>
      <c r="B297" s="199">
        <v>2.0</v>
      </c>
      <c r="D297" s="641">
        <v>0.727</v>
      </c>
      <c r="E297" s="641">
        <v>0.287</v>
      </c>
      <c r="F297" s="641">
        <v>0.91</v>
      </c>
      <c r="G297" s="641">
        <v>0.83</v>
      </c>
      <c r="I297" s="1074" t="str">
        <f t="shared" si="4"/>
        <v>#N/A</v>
      </c>
    </row>
    <row r="298">
      <c r="A298" s="199" t="s">
        <v>1778</v>
      </c>
      <c r="B298" s="199">
        <v>3.0</v>
      </c>
      <c r="D298" s="1064">
        <v>0.843</v>
      </c>
      <c r="E298" s="1064">
        <v>0.193</v>
      </c>
      <c r="F298" s="1064">
        <v>0.787</v>
      </c>
      <c r="G298" s="1064">
        <v>0.67</v>
      </c>
      <c r="I298" s="1074" t="str">
        <f t="shared" si="4"/>
        <v>#N/A</v>
      </c>
    </row>
    <row r="299">
      <c r="A299" s="199" t="s">
        <v>1778</v>
      </c>
      <c r="B299" s="199">
        <v>4.0</v>
      </c>
      <c r="D299" s="1064">
        <v>0.83</v>
      </c>
      <c r="E299" s="1064">
        <v>0.48</v>
      </c>
      <c r="F299" s="1064">
        <v>0.7</v>
      </c>
      <c r="G299" s="1064">
        <v>0.39</v>
      </c>
    </row>
    <row r="300">
      <c r="A300" s="199" t="s">
        <v>1778</v>
      </c>
      <c r="B300" s="199">
        <v>5.0</v>
      </c>
      <c r="D300" s="1064">
        <v>0.87</v>
      </c>
      <c r="E300" s="1064">
        <v>0.277</v>
      </c>
      <c r="F300" s="1064">
        <v>0.63</v>
      </c>
      <c r="G300" s="1064">
        <v>0.46</v>
      </c>
    </row>
    <row r="301">
      <c r="A301" s="199" t="s">
        <v>1778</v>
      </c>
      <c r="B301" s="199">
        <v>6.0</v>
      </c>
      <c r="D301" s="1064">
        <v>0.8</v>
      </c>
      <c r="E301" s="1064">
        <v>0.29</v>
      </c>
      <c r="F301" s="1064">
        <v>0.69</v>
      </c>
      <c r="G301" s="1064">
        <v>0.48</v>
      </c>
    </row>
    <row r="302">
      <c r="A302" s="199" t="s">
        <v>1778</v>
      </c>
      <c r="B302" s="199">
        <v>7.0</v>
      </c>
      <c r="D302" s="1064">
        <v>0.777</v>
      </c>
      <c r="E302" s="1064">
        <v>0.353</v>
      </c>
      <c r="F302" s="1064">
        <v>0.77</v>
      </c>
      <c r="G302" s="1064">
        <v>0.77</v>
      </c>
    </row>
    <row r="303">
      <c r="A303" s="199" t="s">
        <v>1778</v>
      </c>
      <c r="B303" s="199">
        <v>8.0</v>
      </c>
      <c r="D303" s="1064">
        <v>0.71</v>
      </c>
      <c r="E303" s="1064">
        <v>0.443</v>
      </c>
      <c r="F303" s="1064">
        <v>0.793</v>
      </c>
      <c r="G303" s="1064">
        <v>0.77</v>
      </c>
    </row>
    <row r="304">
      <c r="A304" s="199" t="s">
        <v>1778</v>
      </c>
      <c r="B304" s="199">
        <v>9.0</v>
      </c>
      <c r="D304" s="1064">
        <v>0.927</v>
      </c>
      <c r="E304" s="1064">
        <v>0.31</v>
      </c>
      <c r="F304" s="1064">
        <v>0.62</v>
      </c>
      <c r="G304" s="1064">
        <v>0.42</v>
      </c>
    </row>
    <row r="305">
      <c r="A305" s="199" t="s">
        <v>1778</v>
      </c>
      <c r="B305" s="199">
        <v>10.0</v>
      </c>
      <c r="D305" s="1064"/>
      <c r="E305" s="1064"/>
      <c r="F305" s="1064"/>
      <c r="G305" s="1064"/>
    </row>
    <row r="306">
      <c r="A306" s="199" t="s">
        <v>1778</v>
      </c>
      <c r="B306" s="199">
        <v>11.0</v>
      </c>
      <c r="D306" s="1064"/>
      <c r="E306" s="1064"/>
      <c r="F306" s="1064"/>
      <c r="G306" s="1064"/>
    </row>
    <row r="307">
      <c r="A307" s="199" t="s">
        <v>1778</v>
      </c>
      <c r="B307" s="199">
        <v>12.0</v>
      </c>
      <c r="D307" s="1064"/>
      <c r="E307" s="1064"/>
      <c r="F307" s="1064"/>
      <c r="G307" s="1064"/>
    </row>
    <row r="308">
      <c r="A308" s="199" t="s">
        <v>1677</v>
      </c>
      <c r="B308" s="199">
        <v>1.0</v>
      </c>
      <c r="D308" s="1069">
        <v>0.72</v>
      </c>
      <c r="E308" s="1069">
        <v>0.12</v>
      </c>
      <c r="F308" s="1069">
        <v>0.81</v>
      </c>
      <c r="G308" s="1069">
        <v>0.575</v>
      </c>
      <c r="I308" s="1074" t="str">
        <f>SUM(I182,#REF!)</f>
        <v>#REF!</v>
      </c>
    </row>
    <row r="309">
      <c r="A309" s="199" t="s">
        <v>1677</v>
      </c>
      <c r="B309" s="199">
        <v>2.0</v>
      </c>
      <c r="D309" s="1064">
        <v>0.84</v>
      </c>
      <c r="E309" s="1064">
        <v>0.04</v>
      </c>
      <c r="F309" s="1064">
        <v>0.43</v>
      </c>
      <c r="G309" s="1064">
        <v>0.65</v>
      </c>
      <c r="I309" s="1074" t="str">
        <f t="shared" ref="I309:I310" si="5">I183</f>
        <v>#REF!</v>
      </c>
    </row>
    <row r="310">
      <c r="A310" s="199" t="s">
        <v>1677</v>
      </c>
      <c r="B310" s="199">
        <v>3.0</v>
      </c>
      <c r="D310" s="1064">
        <v>0.73</v>
      </c>
      <c r="E310" s="1064">
        <v>0.14</v>
      </c>
      <c r="F310" s="1064">
        <v>0.94</v>
      </c>
      <c r="G310" s="641">
        <v>0.925</v>
      </c>
      <c r="I310" s="1074" t="str">
        <f t="shared" si="5"/>
        <v>#REF!</v>
      </c>
    </row>
    <row r="311">
      <c r="A311" s="199" t="s">
        <v>1677</v>
      </c>
      <c r="B311" s="199">
        <v>4.0</v>
      </c>
      <c r="D311" s="1069">
        <v>0.95</v>
      </c>
      <c r="E311" s="1069">
        <v>0.1</v>
      </c>
      <c r="F311" s="1069">
        <v>0.92</v>
      </c>
      <c r="G311" s="1069">
        <v>1.0</v>
      </c>
    </row>
    <row r="312">
      <c r="A312" s="199" t="s">
        <v>1677</v>
      </c>
      <c r="B312" s="199">
        <v>5.0</v>
      </c>
      <c r="D312" s="1069">
        <v>0.78</v>
      </c>
      <c r="E312" s="1069">
        <v>0.1</v>
      </c>
      <c r="F312" s="1069">
        <v>0.77</v>
      </c>
      <c r="G312" s="1069">
        <v>0.77</v>
      </c>
    </row>
    <row r="313">
      <c r="A313" s="199" t="s">
        <v>1677</v>
      </c>
      <c r="B313" s="199">
        <v>6.0</v>
      </c>
      <c r="D313" s="1064">
        <v>0.82</v>
      </c>
      <c r="E313" s="1064">
        <v>0.12</v>
      </c>
      <c r="F313" s="1064">
        <v>0.8</v>
      </c>
      <c r="G313" s="1064">
        <v>0.225</v>
      </c>
    </row>
    <row r="314">
      <c r="A314" s="199" t="s">
        <v>1677</v>
      </c>
      <c r="B314" s="199">
        <v>7.0</v>
      </c>
      <c r="D314" s="1069">
        <v>0.73</v>
      </c>
      <c r="E314" s="1069">
        <v>0.18</v>
      </c>
      <c r="F314" s="1069">
        <v>0.84</v>
      </c>
      <c r="G314" s="1069">
        <v>0.925</v>
      </c>
    </row>
    <row r="315">
      <c r="A315" s="199" t="s">
        <v>1677</v>
      </c>
      <c r="B315" s="199">
        <v>8.0</v>
      </c>
      <c r="D315" s="1064">
        <v>0.81</v>
      </c>
      <c r="E315" s="1064">
        <v>0.33</v>
      </c>
      <c r="F315" s="1064">
        <v>0.91</v>
      </c>
      <c r="G315" s="1064">
        <v>1.0</v>
      </c>
    </row>
    <row r="316">
      <c r="A316" s="199" t="s">
        <v>1677</v>
      </c>
      <c r="B316" s="199">
        <v>9.0</v>
      </c>
      <c r="D316" s="1064">
        <v>0.69</v>
      </c>
      <c r="E316" s="1064">
        <v>0.23</v>
      </c>
      <c r="F316" s="1064">
        <v>0.94</v>
      </c>
      <c r="G316" s="1064">
        <v>1.0</v>
      </c>
    </row>
    <row r="317">
      <c r="A317" s="199" t="s">
        <v>1677</v>
      </c>
      <c r="B317" s="199">
        <v>10.0</v>
      </c>
    </row>
    <row r="318">
      <c r="A318" s="199" t="s">
        <v>1677</v>
      </c>
      <c r="B318" s="199">
        <v>11.0</v>
      </c>
    </row>
    <row r="319">
      <c r="A319" s="199" t="s">
        <v>1677</v>
      </c>
      <c r="B319" s="199">
        <v>12.0</v>
      </c>
    </row>
    <row r="320">
      <c r="A320" s="199" t="s">
        <v>1779</v>
      </c>
      <c r="B320" s="199">
        <v>1.0</v>
      </c>
      <c r="D320" s="1064">
        <v>0.3</v>
      </c>
      <c r="E320" s="1075">
        <v>0.195</v>
      </c>
      <c r="F320" s="1069">
        <v>0.81</v>
      </c>
      <c r="G320" s="1075">
        <v>0.58</v>
      </c>
      <c r="I320" s="1074" t="str">
        <f t="shared" ref="I320:I322" si="6">SUM(I194,I206)</f>
        <v>#N/A</v>
      </c>
    </row>
    <row r="321">
      <c r="A321" s="199" t="s">
        <v>1779</v>
      </c>
      <c r="B321" s="199">
        <v>2.0</v>
      </c>
      <c r="D321" s="1064">
        <v>0.48</v>
      </c>
      <c r="E321" s="1075">
        <v>0.27</v>
      </c>
      <c r="F321" s="1075">
        <v>0.91</v>
      </c>
      <c r="G321" s="1075">
        <v>1.0</v>
      </c>
      <c r="I321" s="1074" t="str">
        <f t="shared" si="6"/>
        <v>#N/A</v>
      </c>
    </row>
    <row r="322">
      <c r="A322" s="199" t="s">
        <v>1779</v>
      </c>
      <c r="B322" s="199">
        <v>3.0</v>
      </c>
      <c r="D322" s="1064">
        <v>0.57</v>
      </c>
      <c r="E322" s="1075">
        <v>0.285</v>
      </c>
      <c r="F322" s="1075">
        <v>0.915</v>
      </c>
      <c r="G322" s="1075">
        <v>0.81</v>
      </c>
      <c r="I322" s="1074" t="str">
        <f t="shared" si="6"/>
        <v>#N/A</v>
      </c>
    </row>
    <row r="323">
      <c r="A323" s="199" t="s">
        <v>1779</v>
      </c>
      <c r="B323" s="199">
        <v>4.0</v>
      </c>
      <c r="D323" s="1064">
        <v>0.68</v>
      </c>
      <c r="E323" s="1075">
        <v>0.195</v>
      </c>
      <c r="F323" s="1075">
        <v>0.985</v>
      </c>
      <c r="G323" s="1075">
        <v>0.65</v>
      </c>
    </row>
    <row r="324">
      <c r="A324" s="199" t="s">
        <v>1779</v>
      </c>
      <c r="B324" s="199">
        <v>5.0</v>
      </c>
      <c r="D324" s="1064">
        <v>0.48</v>
      </c>
      <c r="E324" s="1075">
        <v>0.235</v>
      </c>
      <c r="F324" s="1075">
        <v>0.76</v>
      </c>
      <c r="G324" s="1075">
        <v>0.62</v>
      </c>
    </row>
    <row r="325">
      <c r="A325" s="199" t="s">
        <v>1779</v>
      </c>
      <c r="B325" s="199">
        <v>6.0</v>
      </c>
      <c r="D325" s="1064">
        <v>0.395</v>
      </c>
      <c r="E325" s="1075">
        <v>0.31</v>
      </c>
      <c r="F325" s="1075">
        <v>0.845</v>
      </c>
      <c r="G325" s="944">
        <v>0.79</v>
      </c>
    </row>
    <row r="326">
      <c r="A326" s="199" t="s">
        <v>1779</v>
      </c>
      <c r="B326" s="199">
        <v>7.0</v>
      </c>
      <c r="D326" s="1064">
        <v>0.563</v>
      </c>
      <c r="E326" s="1075">
        <v>0.217</v>
      </c>
      <c r="F326" s="1075">
        <v>0.973</v>
      </c>
      <c r="G326" s="944">
        <v>0.88</v>
      </c>
    </row>
    <row r="327">
      <c r="A327" s="199" t="s">
        <v>1779</v>
      </c>
      <c r="B327" s="199">
        <v>8.0</v>
      </c>
      <c r="D327" s="1064">
        <v>0.607</v>
      </c>
      <c r="E327" s="1075">
        <v>0.193</v>
      </c>
      <c r="F327" s="1075">
        <v>0.813</v>
      </c>
      <c r="G327" s="944">
        <v>0.53</v>
      </c>
    </row>
    <row r="328">
      <c r="A328" s="199" t="s">
        <v>1779</v>
      </c>
      <c r="B328" s="199">
        <v>9.0</v>
      </c>
      <c r="D328" s="1064">
        <v>0.4</v>
      </c>
      <c r="E328" s="1075">
        <v>0.257</v>
      </c>
      <c r="F328" s="1075">
        <v>0.79</v>
      </c>
      <c r="G328" s="944">
        <v>0.53</v>
      </c>
    </row>
    <row r="329">
      <c r="A329" s="199" t="s">
        <v>1779</v>
      </c>
      <c r="B329" s="199">
        <v>10.0</v>
      </c>
      <c r="D329" s="1064"/>
      <c r="E329" s="1075"/>
      <c r="F329" s="1075"/>
      <c r="G329" s="944"/>
    </row>
    <row r="330">
      <c r="A330" s="199" t="s">
        <v>1779</v>
      </c>
      <c r="B330" s="199">
        <v>11.0</v>
      </c>
      <c r="D330" s="1064"/>
      <c r="E330" s="1075"/>
      <c r="F330" s="1075"/>
      <c r="G330" s="944"/>
    </row>
    <row r="331">
      <c r="A331" s="199" t="s">
        <v>1779</v>
      </c>
      <c r="B331" s="199">
        <v>12.0</v>
      </c>
      <c r="D331" s="1064"/>
      <c r="E331" s="1075"/>
      <c r="F331" s="1075"/>
      <c r="G331" s="944"/>
    </row>
    <row r="332">
      <c r="A332" s="199" t="s">
        <v>1780</v>
      </c>
      <c r="B332" s="199">
        <v>1.0</v>
      </c>
      <c r="C332" s="1065"/>
      <c r="D332" s="1064">
        <v>0.66</v>
      </c>
      <c r="E332" s="1064">
        <v>0.205</v>
      </c>
      <c r="F332" s="1064">
        <v>0.805</v>
      </c>
      <c r="G332" s="641">
        <v>0.4</v>
      </c>
      <c r="I332" s="457" t="str">
        <f t="array" ref="I332">SUM(VLOOKUP($I$1, INDIRECT("'"&amp;$A332&amp;"'"&amp;"!A15:Ag35"), {2*$B332, 2*$B332+1, 2*$B332+2}, 0))</f>
        <v>#REF!</v>
      </c>
    </row>
    <row r="333">
      <c r="A333" s="199" t="s">
        <v>1780</v>
      </c>
      <c r="B333" s="199">
        <v>2.0</v>
      </c>
      <c r="C333" s="1065"/>
      <c r="D333" s="1064">
        <v>0.76</v>
      </c>
      <c r="E333" s="1064">
        <v>0.16</v>
      </c>
      <c r="F333" s="1064">
        <v>0.9</v>
      </c>
      <c r="G333" s="641">
        <v>0.76</v>
      </c>
      <c r="I333" s="457" t="str">
        <f t="array" ref="I333">SUM(VLOOKUP($I$1, INDIRECT("'"&amp;$A333&amp;"'"&amp;"!A15:Ag35"), {2*$B333+2, 2*$B333+1}, 0))</f>
        <v>#REF!</v>
      </c>
    </row>
    <row r="334">
      <c r="A334" s="199" t="s">
        <v>1780</v>
      </c>
      <c r="B334" s="199">
        <v>3.0</v>
      </c>
      <c r="C334" s="1065"/>
      <c r="D334" s="1064">
        <v>0.7</v>
      </c>
      <c r="E334" s="1064">
        <v>0.13</v>
      </c>
      <c r="F334" s="1064">
        <v>0.81</v>
      </c>
      <c r="G334" s="641">
        <v>0.65</v>
      </c>
      <c r="I334" s="457" t="str">
        <f t="array" ref="I334">SUM(VLOOKUP($I$1, INDIRECT("'"&amp;$A334&amp;"'"&amp;"!A15:Ag35"), {2*$B334+2, 2*$B334+1}, 0))</f>
        <v>#REF!</v>
      </c>
    </row>
    <row r="335">
      <c r="A335" s="199" t="s">
        <v>1780</v>
      </c>
      <c r="B335" s="199">
        <v>4.0</v>
      </c>
      <c r="D335" s="1064">
        <v>0.815</v>
      </c>
      <c r="E335" s="1064">
        <v>0.155</v>
      </c>
      <c r="F335" s="1064">
        <v>0.93</v>
      </c>
      <c r="G335" s="1075">
        <v>1.0</v>
      </c>
      <c r="I335" s="1074"/>
    </row>
    <row r="336">
      <c r="A336" s="199" t="s">
        <v>1780</v>
      </c>
      <c r="B336" s="199">
        <v>5.0</v>
      </c>
      <c r="D336" s="1064">
        <v>0.78</v>
      </c>
      <c r="E336" s="1064">
        <v>0.195</v>
      </c>
      <c r="F336" s="1064">
        <v>0.865</v>
      </c>
      <c r="G336" s="1075">
        <v>0.84</v>
      </c>
      <c r="I336" s="457"/>
    </row>
    <row r="337">
      <c r="A337" s="199" t="s">
        <v>1780</v>
      </c>
      <c r="B337" s="199">
        <v>6.0</v>
      </c>
      <c r="D337" s="1064">
        <v>0.815</v>
      </c>
      <c r="E337" s="1064">
        <v>0.22</v>
      </c>
      <c r="F337" s="1064">
        <v>0.775</v>
      </c>
      <c r="G337" s="1075">
        <v>1.0</v>
      </c>
      <c r="I337" s="457"/>
    </row>
    <row r="338">
      <c r="A338" s="199" t="s">
        <v>1780</v>
      </c>
      <c r="B338" s="199">
        <v>7.0</v>
      </c>
      <c r="D338" s="1064">
        <v>0.695</v>
      </c>
      <c r="E338" s="1064">
        <v>0.17</v>
      </c>
      <c r="F338" s="1064">
        <v>0.76</v>
      </c>
      <c r="G338" s="1075">
        <v>1.0</v>
      </c>
      <c r="I338" s="457"/>
    </row>
    <row r="339">
      <c r="A339" s="199" t="s">
        <v>1780</v>
      </c>
      <c r="B339" s="199">
        <v>8.0</v>
      </c>
      <c r="D339" s="1064">
        <v>0.835</v>
      </c>
      <c r="E339" s="1064">
        <v>0.15</v>
      </c>
      <c r="F339" s="1064">
        <v>0.77</v>
      </c>
      <c r="G339" s="1075">
        <v>1.0</v>
      </c>
      <c r="I339" s="457"/>
    </row>
    <row r="340">
      <c r="A340" s="199" t="s">
        <v>1780</v>
      </c>
      <c r="B340" s="199">
        <v>9.0</v>
      </c>
      <c r="D340" s="1064">
        <v>0.77</v>
      </c>
      <c r="E340" s="1064">
        <v>0.225</v>
      </c>
      <c r="F340" s="1064">
        <v>0.77</v>
      </c>
      <c r="G340" s="1075">
        <v>0.58</v>
      </c>
      <c r="I340" s="457"/>
    </row>
    <row r="341">
      <c r="A341" s="199" t="s">
        <v>1780</v>
      </c>
      <c r="B341" s="199">
        <v>10.0</v>
      </c>
    </row>
    <row r="342">
      <c r="A342" s="199" t="s">
        <v>1780</v>
      </c>
      <c r="B342" s="199">
        <v>11.0</v>
      </c>
    </row>
    <row r="343">
      <c r="A343" s="199" t="s">
        <v>1780</v>
      </c>
      <c r="B343" s="199">
        <v>12.0</v>
      </c>
    </row>
    <row r="344">
      <c r="A344" s="199" t="s">
        <v>1781</v>
      </c>
      <c r="B344" s="199">
        <v>4.0</v>
      </c>
      <c r="C344" s="1065"/>
      <c r="D344" s="1066"/>
      <c r="E344" s="1066"/>
      <c r="F344" s="1066"/>
      <c r="G344" s="1065"/>
    </row>
    <row r="345">
      <c r="A345" s="199" t="s">
        <v>1781</v>
      </c>
      <c r="B345" s="199">
        <v>5.0</v>
      </c>
      <c r="C345" s="1065"/>
      <c r="D345" s="1066"/>
      <c r="E345" s="1066"/>
      <c r="F345" s="1066"/>
      <c r="G345" s="1065"/>
    </row>
    <row r="346">
      <c r="A346" s="199" t="s">
        <v>1781</v>
      </c>
      <c r="B346" s="199">
        <v>6.0</v>
      </c>
      <c r="C346" s="1065"/>
      <c r="D346" s="1066"/>
      <c r="E346" s="1066"/>
      <c r="F346" s="1066"/>
      <c r="G346" s="1065"/>
    </row>
    <row r="347">
      <c r="A347" s="199" t="s">
        <v>1781</v>
      </c>
      <c r="B347" s="199">
        <v>7.0</v>
      </c>
      <c r="C347" s="1066"/>
      <c r="D347" s="1066"/>
      <c r="E347" s="1066"/>
      <c r="F347" s="1066"/>
      <c r="G347" s="1065"/>
    </row>
    <row r="348">
      <c r="A348" s="199" t="s">
        <v>1781</v>
      </c>
      <c r="B348" s="199">
        <v>8.0</v>
      </c>
      <c r="C348" s="1066"/>
      <c r="D348" s="408"/>
      <c r="E348" s="408"/>
      <c r="F348" s="408"/>
      <c r="G348" s="408"/>
      <c r="H348" s="408"/>
    </row>
    <row r="349">
      <c r="A349" s="199" t="s">
        <v>1781</v>
      </c>
      <c r="B349" s="199">
        <v>9.0</v>
      </c>
      <c r="C349" s="1066"/>
      <c r="D349" s="408"/>
      <c r="E349" s="408"/>
      <c r="F349" s="408"/>
      <c r="G349" s="408"/>
      <c r="H349" s="408"/>
    </row>
    <row r="350">
      <c r="A350" s="199" t="s">
        <v>1781</v>
      </c>
      <c r="B350" s="199">
        <v>10.0</v>
      </c>
      <c r="C350" s="1066"/>
      <c r="D350" s="408"/>
      <c r="E350" s="408"/>
      <c r="F350" s="408"/>
      <c r="G350" s="408"/>
      <c r="H350" s="408"/>
    </row>
    <row r="351">
      <c r="A351" s="199" t="s">
        <v>1781</v>
      </c>
      <c r="B351" s="199">
        <v>11.0</v>
      </c>
      <c r="C351" s="1066"/>
      <c r="D351" s="408"/>
      <c r="E351" s="408"/>
      <c r="F351" s="408"/>
      <c r="G351" s="408"/>
      <c r="H351" s="408"/>
    </row>
    <row r="352">
      <c r="A352" s="199" t="s">
        <v>1781</v>
      </c>
      <c r="B352" s="199">
        <v>12.0</v>
      </c>
      <c r="C352" s="1066"/>
      <c r="D352" s="408"/>
      <c r="E352" s="408"/>
      <c r="F352" s="408"/>
      <c r="G352" s="408"/>
      <c r="H352" s="408"/>
    </row>
    <row r="353">
      <c r="A353" s="199" t="s">
        <v>1633</v>
      </c>
      <c r="B353" s="199">
        <v>4.0</v>
      </c>
      <c r="C353" s="1065"/>
      <c r="D353" s="944">
        <v>0.0</v>
      </c>
      <c r="E353" s="944">
        <v>0.0</v>
      </c>
      <c r="F353" s="944">
        <v>0.45</v>
      </c>
      <c r="G353" s="944">
        <v>1.0</v>
      </c>
      <c r="H353" s="408"/>
    </row>
    <row r="354">
      <c r="A354" s="199" t="s">
        <v>1633</v>
      </c>
      <c r="B354" s="199">
        <v>5.0</v>
      </c>
      <c r="C354" s="1065"/>
      <c r="D354" s="944">
        <v>0.2</v>
      </c>
      <c r="E354" s="944">
        <v>0.07</v>
      </c>
      <c r="F354" s="944">
        <v>0.59</v>
      </c>
      <c r="G354" s="944">
        <v>0.65</v>
      </c>
      <c r="H354" s="408"/>
    </row>
    <row r="355">
      <c r="A355" s="199" t="s">
        <v>1633</v>
      </c>
      <c r="B355" s="199">
        <v>6.0</v>
      </c>
      <c r="C355" s="1065"/>
      <c r="D355" s="944">
        <v>0.88</v>
      </c>
      <c r="E355" s="944">
        <v>0.0</v>
      </c>
      <c r="F355" s="944">
        <v>0.58</v>
      </c>
      <c r="G355" s="944">
        <v>0.65</v>
      </c>
      <c r="H355" s="408"/>
    </row>
    <row r="356">
      <c r="A356" s="199" t="s">
        <v>1633</v>
      </c>
      <c r="B356" s="199">
        <v>7.0</v>
      </c>
      <c r="C356" s="1065"/>
      <c r="D356" s="944">
        <v>1.0</v>
      </c>
      <c r="E356" s="944">
        <v>0.03</v>
      </c>
      <c r="F356" s="944">
        <v>0.61</v>
      </c>
      <c r="G356" s="944">
        <v>0.65</v>
      </c>
      <c r="H356" s="408"/>
    </row>
    <row r="357">
      <c r="A357" s="199" t="s">
        <v>1633</v>
      </c>
      <c r="B357" s="199">
        <v>8.0</v>
      </c>
      <c r="C357" s="1065"/>
      <c r="D357" s="944">
        <v>0.55</v>
      </c>
      <c r="E357" s="944">
        <v>0.11</v>
      </c>
      <c r="F357" s="944">
        <v>0.33</v>
      </c>
      <c r="G357" s="944">
        <v>0.3</v>
      </c>
      <c r="H357" s="408"/>
    </row>
    <row r="358">
      <c r="A358" s="199" t="s">
        <v>1633</v>
      </c>
      <c r="B358" s="199">
        <v>9.0</v>
      </c>
      <c r="C358" s="1065"/>
      <c r="D358" s="1076">
        <v>0.13</v>
      </c>
      <c r="E358" s="1076">
        <v>0.42</v>
      </c>
      <c r="F358" s="1076">
        <v>0.41</v>
      </c>
      <c r="G358" s="1076">
        <v>0.3</v>
      </c>
      <c r="H358" s="408"/>
    </row>
    <row r="359">
      <c r="A359" s="199" t="s">
        <v>1633</v>
      </c>
      <c r="B359" s="199">
        <v>10.0</v>
      </c>
      <c r="C359" s="1065"/>
      <c r="D359" s="408"/>
      <c r="E359" s="408"/>
      <c r="F359" s="408"/>
      <c r="G359" s="408"/>
      <c r="H359" s="408"/>
    </row>
    <row r="360">
      <c r="A360" s="199" t="s">
        <v>1633</v>
      </c>
      <c r="B360" s="199">
        <v>11.0</v>
      </c>
      <c r="C360" s="1065"/>
      <c r="D360" s="408"/>
      <c r="E360" s="408"/>
      <c r="F360" s="408"/>
      <c r="G360" s="408"/>
      <c r="H360" s="408"/>
    </row>
    <row r="361">
      <c r="A361" s="199" t="s">
        <v>1633</v>
      </c>
      <c r="B361" s="199">
        <v>12.0</v>
      </c>
      <c r="C361" s="1065"/>
      <c r="G361" s="1065"/>
    </row>
    <row r="362">
      <c r="A362" s="199" t="s">
        <v>1782</v>
      </c>
      <c r="C362" s="1065"/>
      <c r="G362" s="1065"/>
    </row>
    <row r="363">
      <c r="C363" s="1065"/>
      <c r="G363" s="1065"/>
    </row>
    <row r="364">
      <c r="C364" s="1065"/>
      <c r="G364" s="1065"/>
    </row>
    <row r="365">
      <c r="C365" s="1065"/>
      <c r="G365" s="1065"/>
    </row>
    <row r="366">
      <c r="C366" s="1065"/>
      <c r="G366" s="1065"/>
    </row>
    <row r="367">
      <c r="C367" s="1065"/>
      <c r="G367" s="1065"/>
    </row>
    <row r="368">
      <c r="C368" s="1065"/>
      <c r="G368" s="1065"/>
    </row>
    <row r="369">
      <c r="C369" s="1065"/>
      <c r="G369" s="1065"/>
    </row>
    <row r="370">
      <c r="C370" s="1065"/>
      <c r="G370" s="1065"/>
    </row>
    <row r="371">
      <c r="C371" s="1065"/>
      <c r="G371" s="1065"/>
    </row>
    <row r="372">
      <c r="C372" s="1065"/>
      <c r="G372" s="1065"/>
    </row>
    <row r="373">
      <c r="C373" s="1065"/>
      <c r="G373" s="1065"/>
    </row>
    <row r="374">
      <c r="C374" s="1065"/>
      <c r="G374" s="1065"/>
    </row>
    <row r="375">
      <c r="C375" s="1065"/>
      <c r="G375" s="1065"/>
    </row>
    <row r="376">
      <c r="C376" s="1065"/>
      <c r="G376" s="1065"/>
    </row>
    <row r="377">
      <c r="C377" s="1065"/>
      <c r="G377" s="1065"/>
    </row>
    <row r="378">
      <c r="C378" s="1065"/>
      <c r="G378" s="1065"/>
    </row>
    <row r="379">
      <c r="C379" s="1065"/>
      <c r="G379" s="1065"/>
    </row>
    <row r="380">
      <c r="C380" s="1065"/>
      <c r="G380" s="1065"/>
    </row>
    <row r="381">
      <c r="C381" s="1065"/>
      <c r="G381" s="1065"/>
    </row>
    <row r="382">
      <c r="C382" s="1065"/>
      <c r="G382" s="1065"/>
    </row>
    <row r="383">
      <c r="C383" s="1065"/>
      <c r="G383" s="1065"/>
    </row>
    <row r="384">
      <c r="C384" s="1065"/>
      <c r="G384" s="1065"/>
    </row>
    <row r="385">
      <c r="C385" s="1065"/>
      <c r="G385" s="1065"/>
    </row>
    <row r="386">
      <c r="C386" s="1065"/>
      <c r="G386" s="1065"/>
    </row>
    <row r="387">
      <c r="C387" s="1065"/>
      <c r="G387" s="1065"/>
    </row>
    <row r="388">
      <c r="C388" s="1065"/>
      <c r="G388" s="1065"/>
    </row>
    <row r="389">
      <c r="C389" s="1065"/>
      <c r="G389" s="1065"/>
    </row>
    <row r="390">
      <c r="C390" s="1065"/>
      <c r="G390" s="1065"/>
    </row>
    <row r="391">
      <c r="C391" s="1065"/>
      <c r="G391" s="1065"/>
    </row>
    <row r="392">
      <c r="C392" s="1065"/>
      <c r="G392" s="1065"/>
    </row>
    <row r="393">
      <c r="C393" s="1065"/>
      <c r="G393" s="1065"/>
    </row>
    <row r="394">
      <c r="C394" s="1065"/>
      <c r="G394" s="1065"/>
    </row>
    <row r="395">
      <c r="C395" s="1065"/>
      <c r="G395" s="1065"/>
    </row>
    <row r="396">
      <c r="C396" s="1065"/>
      <c r="G396" s="1065"/>
    </row>
    <row r="397">
      <c r="C397" s="1065"/>
      <c r="G397" s="1065"/>
    </row>
    <row r="398">
      <c r="C398" s="1065"/>
      <c r="G398" s="1065"/>
    </row>
    <row r="399">
      <c r="C399" s="1065"/>
      <c r="G399" s="1065"/>
    </row>
    <row r="400">
      <c r="C400" s="1065"/>
      <c r="G400" s="1065"/>
    </row>
    <row r="401">
      <c r="C401" s="1065"/>
      <c r="G401" s="1065"/>
    </row>
    <row r="402">
      <c r="C402" s="1065"/>
      <c r="G402" s="1065"/>
    </row>
    <row r="403">
      <c r="C403" s="1065"/>
      <c r="G403" s="1065"/>
    </row>
    <row r="404">
      <c r="C404" s="1065"/>
      <c r="G404" s="1065"/>
    </row>
    <row r="405">
      <c r="C405" s="1065"/>
      <c r="G405" s="1065"/>
    </row>
    <row r="406">
      <c r="C406" s="1065"/>
      <c r="G406" s="1065"/>
    </row>
    <row r="407">
      <c r="C407" s="1065"/>
      <c r="G407" s="1065"/>
    </row>
    <row r="408">
      <c r="C408" s="1065"/>
      <c r="G408" s="1065"/>
    </row>
    <row r="409">
      <c r="C409" s="1065"/>
      <c r="G409" s="1065"/>
    </row>
    <row r="410">
      <c r="C410" s="1065"/>
      <c r="G410" s="1065"/>
    </row>
    <row r="411">
      <c r="C411" s="1065"/>
      <c r="G411" s="1065"/>
    </row>
    <row r="412">
      <c r="C412" s="1065"/>
      <c r="G412" s="1065"/>
    </row>
    <row r="413">
      <c r="C413" s="1065"/>
      <c r="G413" s="1065"/>
    </row>
    <row r="414">
      <c r="C414" s="1065"/>
      <c r="G414" s="1065"/>
    </row>
    <row r="415">
      <c r="C415" s="1065"/>
      <c r="G415" s="1065"/>
    </row>
    <row r="416">
      <c r="C416" s="1065"/>
      <c r="G416" s="1065"/>
    </row>
    <row r="417">
      <c r="C417" s="1065"/>
      <c r="G417" s="1065"/>
    </row>
    <row r="418">
      <c r="C418" s="1065"/>
      <c r="G418" s="1065"/>
    </row>
    <row r="419">
      <c r="C419" s="1065"/>
      <c r="G419" s="1065"/>
    </row>
    <row r="420">
      <c r="C420" s="1065"/>
      <c r="G420" s="1065"/>
    </row>
    <row r="421">
      <c r="C421" s="1065"/>
      <c r="G421" s="1065"/>
    </row>
    <row r="422">
      <c r="C422" s="1065"/>
      <c r="G422" s="1065"/>
    </row>
    <row r="423">
      <c r="C423" s="1065"/>
      <c r="G423" s="1065"/>
    </row>
    <row r="424">
      <c r="C424" s="1065"/>
      <c r="G424" s="1065"/>
    </row>
    <row r="425">
      <c r="C425" s="1065"/>
      <c r="G425" s="1065"/>
    </row>
    <row r="426">
      <c r="C426" s="1065"/>
      <c r="G426" s="1065"/>
    </row>
    <row r="427">
      <c r="C427" s="1065"/>
      <c r="G427" s="1065"/>
    </row>
    <row r="428">
      <c r="C428" s="1065"/>
      <c r="G428" s="1065"/>
    </row>
    <row r="429">
      <c r="C429" s="1065"/>
      <c r="G429" s="1065"/>
    </row>
    <row r="430">
      <c r="C430" s="1065"/>
      <c r="G430" s="1065"/>
    </row>
    <row r="431">
      <c r="C431" s="1065"/>
      <c r="G431" s="1065"/>
    </row>
    <row r="432">
      <c r="C432" s="1065"/>
      <c r="G432" s="1065"/>
    </row>
    <row r="433">
      <c r="C433" s="1065"/>
      <c r="G433" s="1065"/>
    </row>
    <row r="434">
      <c r="C434" s="1065"/>
      <c r="G434" s="1065"/>
    </row>
    <row r="435">
      <c r="C435" s="1065"/>
      <c r="G435" s="1065"/>
    </row>
    <row r="436">
      <c r="C436" s="1065"/>
      <c r="G436" s="1065"/>
    </row>
    <row r="437">
      <c r="C437" s="1065"/>
      <c r="G437" s="1065"/>
    </row>
    <row r="438">
      <c r="C438" s="1065"/>
      <c r="G438" s="1065"/>
    </row>
    <row r="439">
      <c r="C439" s="1065"/>
      <c r="G439" s="1065"/>
    </row>
    <row r="440">
      <c r="C440" s="1065"/>
      <c r="G440" s="1065"/>
    </row>
    <row r="441">
      <c r="C441" s="1065"/>
      <c r="G441" s="1065"/>
    </row>
    <row r="442">
      <c r="C442" s="1065"/>
      <c r="G442" s="1065"/>
    </row>
    <row r="443">
      <c r="C443" s="1065"/>
      <c r="G443" s="1065"/>
    </row>
    <row r="444">
      <c r="C444" s="1065"/>
      <c r="G444" s="1065"/>
    </row>
    <row r="445">
      <c r="C445" s="1065"/>
      <c r="G445" s="1065"/>
    </row>
    <row r="446">
      <c r="C446" s="1065"/>
      <c r="G446" s="1065"/>
    </row>
    <row r="447">
      <c r="C447" s="1065"/>
      <c r="G447" s="1065"/>
    </row>
    <row r="448">
      <c r="C448" s="1065"/>
      <c r="G448" s="1065"/>
    </row>
    <row r="449">
      <c r="C449" s="1065"/>
      <c r="G449" s="1065"/>
    </row>
    <row r="450">
      <c r="C450" s="1065"/>
      <c r="G450" s="1065"/>
    </row>
    <row r="451">
      <c r="C451" s="1065"/>
      <c r="G451" s="1065"/>
    </row>
    <row r="452">
      <c r="C452" s="1065"/>
      <c r="G452" s="1065"/>
    </row>
    <row r="453">
      <c r="C453" s="1065"/>
      <c r="G453" s="1065"/>
    </row>
    <row r="454">
      <c r="C454" s="1065"/>
      <c r="G454" s="1065"/>
    </row>
    <row r="455">
      <c r="C455" s="1065"/>
      <c r="G455" s="1065"/>
    </row>
    <row r="456">
      <c r="C456" s="1065"/>
      <c r="G456" s="1065"/>
    </row>
    <row r="457">
      <c r="C457" s="1065"/>
      <c r="G457" s="1065"/>
    </row>
    <row r="458">
      <c r="C458" s="1065"/>
      <c r="G458" s="1065"/>
    </row>
    <row r="459">
      <c r="C459" s="1065"/>
      <c r="G459" s="1065"/>
    </row>
    <row r="460">
      <c r="C460" s="1065"/>
      <c r="G460" s="1065"/>
    </row>
    <row r="461">
      <c r="C461" s="1065"/>
      <c r="G461" s="1065"/>
    </row>
    <row r="462">
      <c r="C462" s="1065"/>
      <c r="G462" s="1065"/>
    </row>
    <row r="463">
      <c r="C463" s="1065"/>
      <c r="G463" s="1065"/>
    </row>
    <row r="464">
      <c r="C464" s="1065"/>
      <c r="G464" s="1065"/>
    </row>
    <row r="465">
      <c r="C465" s="1065"/>
      <c r="G465" s="1065"/>
    </row>
    <row r="466">
      <c r="C466" s="1065"/>
      <c r="G466" s="1065"/>
    </row>
    <row r="467">
      <c r="C467" s="1065"/>
      <c r="G467" s="1065"/>
    </row>
    <row r="468">
      <c r="C468" s="1065"/>
      <c r="G468" s="1065"/>
    </row>
    <row r="469">
      <c r="C469" s="1065"/>
      <c r="G469" s="1065"/>
    </row>
    <row r="470">
      <c r="C470" s="1065"/>
      <c r="G470" s="1065"/>
    </row>
    <row r="471">
      <c r="C471" s="1065"/>
      <c r="G471" s="1065"/>
    </row>
    <row r="472">
      <c r="C472" s="1065"/>
      <c r="G472" s="1065"/>
    </row>
    <row r="473">
      <c r="C473" s="1065"/>
      <c r="G473" s="1065"/>
    </row>
    <row r="474">
      <c r="C474" s="1065"/>
      <c r="G474" s="1065"/>
    </row>
    <row r="475">
      <c r="C475" s="1065"/>
      <c r="G475" s="1065"/>
    </row>
    <row r="476">
      <c r="C476" s="1065"/>
      <c r="G476" s="1065"/>
    </row>
    <row r="477">
      <c r="C477" s="1065"/>
      <c r="G477" s="1065"/>
    </row>
    <row r="478">
      <c r="C478" s="1065"/>
      <c r="G478" s="1065"/>
    </row>
    <row r="479">
      <c r="C479" s="1065"/>
      <c r="G479" s="1065"/>
    </row>
    <row r="480">
      <c r="C480" s="1065"/>
      <c r="G480" s="1065"/>
    </row>
    <row r="481">
      <c r="C481" s="1065"/>
      <c r="G481" s="1065"/>
    </row>
    <row r="482">
      <c r="C482" s="1065"/>
      <c r="G482" s="1065"/>
    </row>
    <row r="483">
      <c r="C483" s="1065"/>
      <c r="G483" s="1065"/>
    </row>
    <row r="484">
      <c r="C484" s="1065"/>
      <c r="G484" s="1065"/>
    </row>
    <row r="485">
      <c r="C485" s="1065"/>
      <c r="G485" s="1065"/>
    </row>
    <row r="486">
      <c r="C486" s="1065"/>
      <c r="G486" s="1065"/>
    </row>
    <row r="487">
      <c r="C487" s="1065"/>
      <c r="G487" s="1065"/>
    </row>
    <row r="488">
      <c r="C488" s="1065"/>
      <c r="G488" s="1065"/>
    </row>
    <row r="489">
      <c r="C489" s="1065"/>
      <c r="G489" s="1065"/>
    </row>
    <row r="490">
      <c r="C490" s="1065"/>
      <c r="G490" s="1065"/>
    </row>
    <row r="491">
      <c r="C491" s="1065"/>
      <c r="G491" s="1065"/>
    </row>
    <row r="492">
      <c r="C492" s="1065"/>
      <c r="G492" s="1065"/>
    </row>
    <row r="493">
      <c r="C493" s="1065"/>
      <c r="G493" s="1065"/>
    </row>
    <row r="494">
      <c r="C494" s="1065"/>
      <c r="G494" s="1065"/>
    </row>
    <row r="495">
      <c r="C495" s="1065"/>
      <c r="G495" s="1065"/>
    </row>
    <row r="496">
      <c r="C496" s="1065"/>
      <c r="G496" s="1065"/>
    </row>
    <row r="497">
      <c r="C497" s="1065"/>
      <c r="G497" s="1065"/>
    </row>
    <row r="498">
      <c r="C498" s="1065"/>
      <c r="G498" s="1065"/>
    </row>
    <row r="499">
      <c r="C499" s="1065"/>
      <c r="G499" s="1065"/>
    </row>
    <row r="500">
      <c r="C500" s="1065"/>
      <c r="G500" s="1065"/>
    </row>
    <row r="501">
      <c r="C501" s="1065"/>
      <c r="G501" s="1065"/>
    </row>
    <row r="502">
      <c r="C502" s="1065"/>
      <c r="G502" s="1065"/>
    </row>
    <row r="503">
      <c r="C503" s="1065"/>
      <c r="G503" s="1065"/>
    </row>
    <row r="504">
      <c r="C504" s="1065"/>
      <c r="G504" s="1065"/>
    </row>
    <row r="505">
      <c r="C505" s="1065"/>
      <c r="G505" s="1065"/>
    </row>
    <row r="506">
      <c r="C506" s="1065"/>
      <c r="G506" s="1065"/>
    </row>
    <row r="507">
      <c r="C507" s="1065"/>
      <c r="G507" s="1065"/>
    </row>
    <row r="508">
      <c r="C508" s="1065"/>
      <c r="G508" s="1065"/>
    </row>
    <row r="509">
      <c r="C509" s="1065"/>
      <c r="G509" s="1065"/>
    </row>
    <row r="510">
      <c r="C510" s="1065"/>
      <c r="G510" s="1065"/>
    </row>
    <row r="511">
      <c r="C511" s="1065"/>
      <c r="G511" s="1065"/>
    </row>
    <row r="512">
      <c r="C512" s="1065"/>
      <c r="G512" s="1065"/>
    </row>
    <row r="513">
      <c r="C513" s="1065"/>
      <c r="G513" s="1065"/>
    </row>
    <row r="514">
      <c r="C514" s="1065"/>
      <c r="G514" s="1065"/>
    </row>
    <row r="515">
      <c r="C515" s="1065"/>
      <c r="G515" s="1065"/>
    </row>
    <row r="516">
      <c r="C516" s="1065"/>
      <c r="G516" s="1065"/>
    </row>
    <row r="517">
      <c r="C517" s="1065"/>
      <c r="G517" s="1065"/>
    </row>
    <row r="518">
      <c r="C518" s="1065"/>
      <c r="G518" s="1065"/>
    </row>
    <row r="519">
      <c r="C519" s="1065"/>
      <c r="G519" s="1065"/>
    </row>
    <row r="520">
      <c r="C520" s="1065"/>
      <c r="G520" s="1065"/>
    </row>
    <row r="521">
      <c r="C521" s="1065"/>
      <c r="G521" s="1065"/>
    </row>
    <row r="522">
      <c r="C522" s="1065"/>
      <c r="G522" s="1065"/>
    </row>
    <row r="523">
      <c r="C523" s="1065"/>
      <c r="G523" s="1065"/>
    </row>
    <row r="524">
      <c r="C524" s="1065"/>
      <c r="G524" s="1065"/>
    </row>
    <row r="525">
      <c r="C525" s="1065"/>
      <c r="G525" s="1065"/>
    </row>
    <row r="526">
      <c r="C526" s="1065"/>
      <c r="G526" s="1065"/>
    </row>
    <row r="527">
      <c r="C527" s="1065"/>
      <c r="G527" s="1065"/>
    </row>
    <row r="528">
      <c r="C528" s="1065"/>
      <c r="G528" s="1065"/>
    </row>
    <row r="529">
      <c r="C529" s="1065"/>
      <c r="G529" s="1065"/>
    </row>
    <row r="530">
      <c r="C530" s="1065"/>
      <c r="G530" s="1065"/>
    </row>
    <row r="531">
      <c r="C531" s="1065"/>
      <c r="G531" s="1065"/>
    </row>
    <row r="532">
      <c r="C532" s="1065"/>
      <c r="G532" s="1065"/>
    </row>
    <row r="533">
      <c r="C533" s="1065"/>
      <c r="G533" s="1065"/>
    </row>
    <row r="534">
      <c r="C534" s="1065"/>
      <c r="G534" s="1065"/>
    </row>
    <row r="535">
      <c r="C535" s="1065"/>
      <c r="G535" s="1065"/>
    </row>
    <row r="536">
      <c r="C536" s="1065"/>
      <c r="G536" s="1065"/>
    </row>
    <row r="537">
      <c r="C537" s="1065"/>
      <c r="G537" s="1065"/>
    </row>
    <row r="538">
      <c r="C538" s="1065"/>
      <c r="G538" s="1065"/>
    </row>
    <row r="539">
      <c r="C539" s="1065"/>
      <c r="G539" s="1065"/>
    </row>
    <row r="540">
      <c r="C540" s="1065"/>
      <c r="G540" s="1065"/>
    </row>
    <row r="541">
      <c r="C541" s="1065"/>
      <c r="G541" s="1065"/>
    </row>
    <row r="542">
      <c r="C542" s="1065"/>
      <c r="G542" s="1065"/>
    </row>
    <row r="543">
      <c r="C543" s="1065"/>
      <c r="G543" s="1065"/>
    </row>
    <row r="544">
      <c r="C544" s="1065"/>
      <c r="G544" s="1065"/>
    </row>
    <row r="545">
      <c r="C545" s="1065"/>
      <c r="G545" s="1065"/>
    </row>
    <row r="546">
      <c r="C546" s="1065"/>
      <c r="G546" s="1065"/>
    </row>
    <row r="547">
      <c r="C547" s="1065"/>
      <c r="G547" s="1065"/>
    </row>
    <row r="548">
      <c r="C548" s="1065"/>
      <c r="G548" s="1065"/>
    </row>
    <row r="549">
      <c r="C549" s="1065"/>
      <c r="G549" s="1065"/>
    </row>
    <row r="550">
      <c r="C550" s="1065"/>
      <c r="G550" s="1065"/>
    </row>
    <row r="551">
      <c r="C551" s="1065"/>
      <c r="G551" s="1065"/>
    </row>
    <row r="552">
      <c r="C552" s="1065"/>
      <c r="G552" s="1065"/>
    </row>
    <row r="553">
      <c r="C553" s="1065"/>
      <c r="G553" s="1065"/>
    </row>
    <row r="554">
      <c r="C554" s="1065"/>
      <c r="G554" s="1065"/>
    </row>
    <row r="555">
      <c r="C555" s="1065"/>
      <c r="G555" s="1065"/>
    </row>
    <row r="556">
      <c r="C556" s="1065"/>
      <c r="G556" s="1065"/>
    </row>
    <row r="557">
      <c r="C557" s="1065"/>
      <c r="G557" s="1065"/>
    </row>
    <row r="558">
      <c r="C558" s="1065"/>
      <c r="G558" s="1065"/>
    </row>
    <row r="559">
      <c r="C559" s="1065"/>
      <c r="G559" s="1065"/>
    </row>
    <row r="560">
      <c r="C560" s="1065"/>
      <c r="G560" s="1065"/>
    </row>
    <row r="561">
      <c r="C561" s="1065"/>
      <c r="G561" s="1065"/>
    </row>
    <row r="562">
      <c r="C562" s="1065"/>
      <c r="G562" s="1065"/>
    </row>
    <row r="563">
      <c r="C563" s="1065"/>
      <c r="G563" s="1065"/>
    </row>
    <row r="564">
      <c r="C564" s="1065"/>
      <c r="G564" s="1065"/>
    </row>
    <row r="565">
      <c r="C565" s="1065"/>
      <c r="G565" s="1065"/>
    </row>
    <row r="566">
      <c r="C566" s="1065"/>
      <c r="G566" s="1065"/>
    </row>
    <row r="567">
      <c r="C567" s="1065"/>
      <c r="G567" s="1065"/>
    </row>
    <row r="568">
      <c r="C568" s="1065"/>
      <c r="G568" s="1065"/>
    </row>
    <row r="569">
      <c r="C569" s="1065"/>
      <c r="G569" s="1065"/>
    </row>
    <row r="570">
      <c r="C570" s="1065"/>
      <c r="G570" s="1065"/>
    </row>
    <row r="571">
      <c r="C571" s="1065"/>
      <c r="G571" s="1065"/>
    </row>
    <row r="572">
      <c r="C572" s="1065"/>
      <c r="G572" s="1065"/>
    </row>
    <row r="573">
      <c r="C573" s="1065"/>
      <c r="G573" s="1065"/>
    </row>
    <row r="574">
      <c r="C574" s="1065"/>
      <c r="G574" s="1065"/>
    </row>
    <row r="575">
      <c r="C575" s="1065"/>
      <c r="G575" s="1065"/>
    </row>
    <row r="576">
      <c r="C576" s="1065"/>
      <c r="G576" s="1065"/>
    </row>
    <row r="577">
      <c r="C577" s="1065"/>
      <c r="G577" s="1065"/>
    </row>
    <row r="578">
      <c r="C578" s="1065"/>
      <c r="G578" s="1065"/>
    </row>
    <row r="579">
      <c r="C579" s="1065"/>
      <c r="G579" s="1065"/>
    </row>
    <row r="580">
      <c r="C580" s="1065"/>
      <c r="G580" s="1065"/>
    </row>
    <row r="581">
      <c r="C581" s="1065"/>
      <c r="G581" s="1065"/>
    </row>
    <row r="582">
      <c r="C582" s="1065"/>
      <c r="G582" s="1065"/>
    </row>
    <row r="583">
      <c r="C583" s="1065"/>
      <c r="G583" s="1065"/>
    </row>
    <row r="584">
      <c r="C584" s="1065"/>
      <c r="G584" s="1065"/>
    </row>
    <row r="585">
      <c r="C585" s="1065"/>
      <c r="G585" s="1065"/>
    </row>
    <row r="586">
      <c r="C586" s="1065"/>
      <c r="G586" s="1065"/>
    </row>
    <row r="587">
      <c r="C587" s="1065"/>
      <c r="G587" s="1065"/>
    </row>
    <row r="588">
      <c r="C588" s="1065"/>
      <c r="G588" s="1065"/>
    </row>
    <row r="589">
      <c r="C589" s="1065"/>
      <c r="G589" s="1065"/>
    </row>
    <row r="590">
      <c r="C590" s="1065"/>
      <c r="G590" s="1065"/>
    </row>
    <row r="591">
      <c r="C591" s="1065"/>
      <c r="G591" s="1065"/>
    </row>
    <row r="592">
      <c r="C592" s="1065"/>
      <c r="G592" s="1065"/>
    </row>
    <row r="593">
      <c r="C593" s="1065"/>
      <c r="G593" s="1065"/>
    </row>
    <row r="594">
      <c r="C594" s="1065"/>
      <c r="G594" s="1065"/>
    </row>
    <row r="595">
      <c r="C595" s="1065"/>
      <c r="G595" s="1065"/>
    </row>
    <row r="596">
      <c r="C596" s="1065"/>
      <c r="G596" s="1065"/>
    </row>
    <row r="597">
      <c r="C597" s="1065"/>
      <c r="G597" s="1065"/>
    </row>
    <row r="598">
      <c r="C598" s="1065"/>
      <c r="G598" s="1065"/>
    </row>
    <row r="599">
      <c r="C599" s="1065"/>
      <c r="G599" s="1065"/>
    </row>
    <row r="600">
      <c r="C600" s="1065"/>
      <c r="G600" s="1065"/>
    </row>
    <row r="601">
      <c r="C601" s="1065"/>
      <c r="G601" s="1065"/>
    </row>
    <row r="602">
      <c r="C602" s="1065"/>
      <c r="G602" s="1065"/>
    </row>
    <row r="603">
      <c r="C603" s="1065"/>
      <c r="G603" s="1065"/>
    </row>
    <row r="604">
      <c r="C604" s="1065"/>
      <c r="G604" s="1065"/>
    </row>
    <row r="605">
      <c r="C605" s="1065"/>
      <c r="G605" s="1065"/>
    </row>
    <row r="606">
      <c r="C606" s="1065"/>
      <c r="G606" s="1065"/>
    </row>
    <row r="607">
      <c r="C607" s="1065"/>
      <c r="G607" s="1065"/>
    </row>
    <row r="608">
      <c r="C608" s="1065"/>
      <c r="G608" s="1065"/>
    </row>
    <row r="609">
      <c r="C609" s="1065"/>
      <c r="G609" s="1065"/>
    </row>
    <row r="610">
      <c r="C610" s="1065"/>
      <c r="G610" s="1065"/>
    </row>
    <row r="611">
      <c r="C611" s="1065"/>
      <c r="G611" s="1065"/>
    </row>
    <row r="612">
      <c r="C612" s="1065"/>
      <c r="G612" s="1065"/>
    </row>
    <row r="613">
      <c r="C613" s="1065"/>
      <c r="G613" s="1065"/>
    </row>
    <row r="614">
      <c r="C614" s="1065"/>
      <c r="G614" s="1065"/>
    </row>
    <row r="615">
      <c r="C615" s="1065"/>
      <c r="G615" s="1065"/>
    </row>
    <row r="616">
      <c r="C616" s="1065"/>
      <c r="G616" s="1065"/>
    </row>
    <row r="617">
      <c r="C617" s="1065"/>
      <c r="G617" s="1065"/>
    </row>
    <row r="618">
      <c r="C618" s="1065"/>
      <c r="G618" s="1065"/>
    </row>
    <row r="619">
      <c r="C619" s="1065"/>
      <c r="G619" s="1065"/>
    </row>
    <row r="620">
      <c r="C620" s="1065"/>
      <c r="G620" s="1065"/>
    </row>
    <row r="621">
      <c r="C621" s="1065"/>
      <c r="G621" s="1065"/>
    </row>
    <row r="622">
      <c r="C622" s="1065"/>
      <c r="G622" s="1065"/>
    </row>
    <row r="623">
      <c r="C623" s="1065"/>
      <c r="G623" s="1065"/>
    </row>
    <row r="624">
      <c r="C624" s="1065"/>
      <c r="G624" s="1065"/>
    </row>
    <row r="625">
      <c r="C625" s="1065"/>
      <c r="G625" s="1065"/>
    </row>
    <row r="626">
      <c r="C626" s="1065"/>
      <c r="G626" s="1065"/>
    </row>
    <row r="627">
      <c r="C627" s="1065"/>
      <c r="G627" s="1065"/>
    </row>
    <row r="628">
      <c r="C628" s="1065"/>
      <c r="G628" s="1065"/>
    </row>
    <row r="629">
      <c r="C629" s="1065"/>
      <c r="G629" s="1065"/>
    </row>
    <row r="630">
      <c r="C630" s="1065"/>
      <c r="G630" s="1065"/>
    </row>
    <row r="631">
      <c r="C631" s="1065"/>
      <c r="G631" s="1065"/>
    </row>
    <row r="632">
      <c r="C632" s="1065"/>
      <c r="G632" s="1065"/>
    </row>
    <row r="633">
      <c r="C633" s="1065"/>
      <c r="G633" s="1065"/>
    </row>
    <row r="634">
      <c r="C634" s="1065"/>
      <c r="G634" s="1065"/>
    </row>
    <row r="635">
      <c r="C635" s="1065"/>
      <c r="G635" s="1065"/>
    </row>
    <row r="636">
      <c r="C636" s="1065"/>
      <c r="G636" s="1065"/>
    </row>
    <row r="637">
      <c r="C637" s="1065"/>
      <c r="G637" s="1065"/>
    </row>
    <row r="638">
      <c r="C638" s="1065"/>
      <c r="G638" s="1065"/>
    </row>
    <row r="639">
      <c r="C639" s="1065"/>
      <c r="G639" s="1065"/>
    </row>
    <row r="640">
      <c r="C640" s="1065"/>
      <c r="G640" s="1065"/>
    </row>
    <row r="641">
      <c r="C641" s="1065"/>
      <c r="G641" s="1065"/>
    </row>
    <row r="642">
      <c r="C642" s="1065"/>
      <c r="G642" s="1065"/>
    </row>
    <row r="643">
      <c r="C643" s="1065"/>
      <c r="G643" s="1065"/>
    </row>
    <row r="644">
      <c r="C644" s="1065"/>
      <c r="G644" s="1065"/>
    </row>
    <row r="645">
      <c r="C645" s="1065"/>
      <c r="G645" s="1065"/>
    </row>
    <row r="646">
      <c r="C646" s="1065"/>
      <c r="G646" s="1065"/>
    </row>
    <row r="647">
      <c r="C647" s="1065"/>
      <c r="G647" s="1065"/>
    </row>
    <row r="648">
      <c r="C648" s="1065"/>
      <c r="G648" s="1065"/>
    </row>
    <row r="649">
      <c r="C649" s="1065"/>
      <c r="G649" s="1065"/>
    </row>
    <row r="650">
      <c r="C650" s="1065"/>
      <c r="G650" s="1065"/>
    </row>
    <row r="651">
      <c r="C651" s="1065"/>
      <c r="G651" s="1065"/>
    </row>
    <row r="652">
      <c r="C652" s="1065"/>
      <c r="G652" s="1065"/>
    </row>
    <row r="653">
      <c r="C653" s="1065"/>
      <c r="G653" s="1065"/>
    </row>
    <row r="654">
      <c r="C654" s="1065"/>
      <c r="G654" s="1065"/>
    </row>
    <row r="655">
      <c r="C655" s="1065"/>
      <c r="G655" s="1065"/>
    </row>
    <row r="656">
      <c r="C656" s="1065"/>
      <c r="G656" s="1065"/>
    </row>
    <row r="657">
      <c r="C657" s="1065"/>
      <c r="G657" s="1065"/>
    </row>
    <row r="658">
      <c r="C658" s="1065"/>
      <c r="G658" s="1065"/>
    </row>
    <row r="659">
      <c r="C659" s="1065"/>
      <c r="G659" s="1065"/>
    </row>
    <row r="660">
      <c r="C660" s="1065"/>
      <c r="G660" s="1065"/>
    </row>
    <row r="661">
      <c r="C661" s="1065"/>
      <c r="G661" s="1065"/>
    </row>
    <row r="662">
      <c r="C662" s="1065"/>
      <c r="G662" s="1065"/>
    </row>
    <row r="663">
      <c r="C663" s="1065"/>
      <c r="G663" s="1065"/>
    </row>
    <row r="664">
      <c r="C664" s="1065"/>
      <c r="G664" s="1065"/>
    </row>
    <row r="665">
      <c r="C665" s="1065"/>
      <c r="G665" s="1065"/>
    </row>
    <row r="666">
      <c r="C666" s="1065"/>
      <c r="G666" s="1065"/>
    </row>
    <row r="667">
      <c r="C667" s="1065"/>
      <c r="G667" s="1065"/>
    </row>
    <row r="668">
      <c r="C668" s="1065"/>
      <c r="G668" s="1065"/>
    </row>
    <row r="669">
      <c r="C669" s="1065"/>
      <c r="G669" s="1065"/>
    </row>
    <row r="670">
      <c r="C670" s="1065"/>
      <c r="G670" s="1065"/>
    </row>
    <row r="671">
      <c r="C671" s="1065"/>
      <c r="G671" s="1065"/>
    </row>
    <row r="672">
      <c r="C672" s="1065"/>
      <c r="G672" s="1065"/>
    </row>
    <row r="673">
      <c r="C673" s="1065"/>
      <c r="G673" s="1065"/>
    </row>
    <row r="674">
      <c r="C674" s="1065"/>
      <c r="G674" s="1065"/>
    </row>
    <row r="675">
      <c r="C675" s="1065"/>
      <c r="G675" s="1065"/>
    </row>
    <row r="676">
      <c r="C676" s="1065"/>
      <c r="G676" s="1065"/>
    </row>
    <row r="677">
      <c r="C677" s="1065"/>
      <c r="G677" s="1065"/>
    </row>
    <row r="678">
      <c r="C678" s="1065"/>
      <c r="G678" s="1065"/>
    </row>
    <row r="679">
      <c r="C679" s="1065"/>
      <c r="G679" s="1065"/>
    </row>
    <row r="680">
      <c r="C680" s="1065"/>
      <c r="G680" s="1065"/>
    </row>
    <row r="681">
      <c r="C681" s="1065"/>
      <c r="G681" s="1065"/>
    </row>
    <row r="682">
      <c r="C682" s="1065"/>
      <c r="G682" s="1065"/>
    </row>
    <row r="683">
      <c r="C683" s="1065"/>
      <c r="G683" s="1065"/>
    </row>
    <row r="684">
      <c r="C684" s="1065"/>
      <c r="G684" s="1065"/>
    </row>
    <row r="685">
      <c r="C685" s="1065"/>
      <c r="G685" s="1065"/>
    </row>
    <row r="686">
      <c r="C686" s="1065"/>
      <c r="G686" s="1065"/>
    </row>
    <row r="687">
      <c r="C687" s="1065"/>
      <c r="G687" s="1065"/>
    </row>
    <row r="688">
      <c r="C688" s="1065"/>
      <c r="G688" s="1065"/>
    </row>
    <row r="689">
      <c r="C689" s="1065"/>
      <c r="G689" s="1065"/>
    </row>
    <row r="690">
      <c r="C690" s="1065"/>
      <c r="G690" s="1065"/>
    </row>
    <row r="691">
      <c r="C691" s="1065"/>
      <c r="G691" s="1065"/>
    </row>
    <row r="692">
      <c r="C692" s="1065"/>
      <c r="G692" s="1065"/>
    </row>
    <row r="693">
      <c r="C693" s="1065"/>
      <c r="G693" s="1065"/>
    </row>
    <row r="694">
      <c r="C694" s="1065"/>
      <c r="G694" s="1065"/>
    </row>
    <row r="695">
      <c r="C695" s="1065"/>
      <c r="G695" s="1065"/>
    </row>
    <row r="696">
      <c r="C696" s="1065"/>
      <c r="G696" s="1065"/>
    </row>
    <row r="697">
      <c r="C697" s="1065"/>
      <c r="G697" s="1065"/>
    </row>
    <row r="698">
      <c r="C698" s="1065"/>
      <c r="G698" s="1065"/>
    </row>
    <row r="699">
      <c r="C699" s="1065"/>
      <c r="G699" s="1065"/>
    </row>
    <row r="700">
      <c r="C700" s="1065"/>
      <c r="G700" s="1065"/>
    </row>
    <row r="701">
      <c r="C701" s="1065"/>
      <c r="G701" s="1065"/>
    </row>
    <row r="702">
      <c r="C702" s="1065"/>
      <c r="G702" s="1065"/>
    </row>
    <row r="703">
      <c r="C703" s="1065"/>
      <c r="G703" s="1065"/>
    </row>
    <row r="704">
      <c r="C704" s="1065"/>
      <c r="G704" s="1065"/>
    </row>
    <row r="705">
      <c r="C705" s="1065"/>
      <c r="G705" s="1065"/>
    </row>
    <row r="706">
      <c r="C706" s="1065"/>
      <c r="G706" s="1065"/>
    </row>
    <row r="707">
      <c r="C707" s="1065"/>
      <c r="G707" s="1065"/>
    </row>
    <row r="708">
      <c r="C708" s="1065"/>
      <c r="G708" s="1065"/>
    </row>
    <row r="709">
      <c r="C709" s="1065"/>
      <c r="G709" s="1065"/>
    </row>
    <row r="710">
      <c r="C710" s="1065"/>
      <c r="G710" s="1065"/>
    </row>
    <row r="711">
      <c r="C711" s="1065"/>
      <c r="G711" s="1065"/>
    </row>
    <row r="712">
      <c r="C712" s="1065"/>
      <c r="G712" s="1065"/>
    </row>
    <row r="713">
      <c r="C713" s="1065"/>
      <c r="G713" s="1065"/>
    </row>
    <row r="714">
      <c r="C714" s="1065"/>
      <c r="G714" s="1065"/>
    </row>
    <row r="715">
      <c r="C715" s="1065"/>
      <c r="G715" s="1065"/>
    </row>
    <row r="716">
      <c r="C716" s="1065"/>
      <c r="G716" s="1065"/>
    </row>
    <row r="717">
      <c r="C717" s="1065"/>
      <c r="G717" s="1065"/>
    </row>
    <row r="718">
      <c r="C718" s="1065"/>
      <c r="G718" s="1065"/>
    </row>
    <row r="719">
      <c r="C719" s="1065"/>
      <c r="G719" s="1065"/>
    </row>
    <row r="720">
      <c r="C720" s="1065"/>
      <c r="G720" s="1065"/>
    </row>
    <row r="721">
      <c r="C721" s="1065"/>
      <c r="G721" s="1065"/>
    </row>
    <row r="722">
      <c r="C722" s="1065"/>
      <c r="G722" s="1065"/>
    </row>
    <row r="723">
      <c r="C723" s="1065"/>
      <c r="G723" s="1065"/>
    </row>
    <row r="724">
      <c r="C724" s="1065"/>
      <c r="G724" s="1065"/>
    </row>
    <row r="725">
      <c r="C725" s="1065"/>
      <c r="G725" s="1065"/>
    </row>
    <row r="726">
      <c r="C726" s="1065"/>
      <c r="G726" s="1065"/>
    </row>
    <row r="727">
      <c r="C727" s="1065"/>
      <c r="G727" s="1065"/>
    </row>
    <row r="728">
      <c r="C728" s="1065"/>
      <c r="G728" s="1065"/>
    </row>
    <row r="729">
      <c r="C729" s="1065"/>
      <c r="G729" s="1065"/>
    </row>
    <row r="730">
      <c r="C730" s="1065"/>
      <c r="G730" s="1065"/>
    </row>
    <row r="731">
      <c r="C731" s="1065"/>
      <c r="G731" s="1065"/>
    </row>
    <row r="732">
      <c r="C732" s="1065"/>
      <c r="G732" s="1065"/>
    </row>
    <row r="733">
      <c r="C733" s="1065"/>
      <c r="G733" s="1065"/>
    </row>
    <row r="734">
      <c r="C734" s="1065"/>
      <c r="G734" s="1065"/>
    </row>
    <row r="735">
      <c r="C735" s="1065"/>
      <c r="G735" s="1065"/>
    </row>
    <row r="736">
      <c r="C736" s="1065"/>
      <c r="G736" s="1065"/>
    </row>
    <row r="737">
      <c r="C737" s="1065"/>
      <c r="G737" s="1065"/>
    </row>
    <row r="738">
      <c r="C738" s="1065"/>
      <c r="G738" s="1065"/>
    </row>
    <row r="739">
      <c r="C739" s="1065"/>
      <c r="G739" s="1065"/>
    </row>
    <row r="740">
      <c r="C740" s="1065"/>
      <c r="G740" s="1065"/>
    </row>
    <row r="741">
      <c r="C741" s="1065"/>
      <c r="G741" s="1065"/>
    </row>
    <row r="742">
      <c r="C742" s="1065"/>
      <c r="G742" s="1065"/>
    </row>
    <row r="743">
      <c r="C743" s="1065"/>
      <c r="G743" s="1065"/>
    </row>
    <row r="744">
      <c r="C744" s="1065"/>
      <c r="G744" s="1065"/>
    </row>
    <row r="745">
      <c r="C745" s="1065"/>
      <c r="G745" s="1065"/>
    </row>
    <row r="746">
      <c r="C746" s="1065"/>
      <c r="G746" s="1065"/>
    </row>
    <row r="747">
      <c r="C747" s="1065"/>
      <c r="G747" s="1065"/>
    </row>
    <row r="748">
      <c r="C748" s="1065"/>
      <c r="G748" s="1065"/>
    </row>
    <row r="749">
      <c r="C749" s="1065"/>
      <c r="G749" s="1065"/>
    </row>
    <row r="750">
      <c r="C750" s="1065"/>
      <c r="G750" s="1065"/>
    </row>
    <row r="751">
      <c r="C751" s="1065"/>
      <c r="G751" s="1065"/>
    </row>
    <row r="752">
      <c r="C752" s="1065"/>
      <c r="G752" s="1065"/>
    </row>
    <row r="753">
      <c r="C753" s="1065"/>
      <c r="G753" s="1065"/>
    </row>
    <row r="754">
      <c r="C754" s="1065"/>
      <c r="G754" s="1065"/>
    </row>
    <row r="755">
      <c r="C755" s="1065"/>
      <c r="G755" s="1065"/>
    </row>
    <row r="756">
      <c r="C756" s="1065"/>
      <c r="G756" s="1065"/>
    </row>
    <row r="757">
      <c r="C757" s="1065"/>
      <c r="G757" s="1065"/>
    </row>
    <row r="758">
      <c r="C758" s="1065"/>
      <c r="G758" s="1065"/>
    </row>
    <row r="759">
      <c r="C759" s="1065"/>
      <c r="G759" s="1065"/>
    </row>
    <row r="760">
      <c r="C760" s="1065"/>
      <c r="G760" s="1065"/>
    </row>
    <row r="761">
      <c r="C761" s="1065"/>
      <c r="G761" s="1065"/>
    </row>
    <row r="762">
      <c r="C762" s="1065"/>
      <c r="G762" s="1065"/>
    </row>
    <row r="763">
      <c r="C763" s="1065"/>
      <c r="G763" s="1065"/>
    </row>
    <row r="764">
      <c r="C764" s="1065"/>
      <c r="G764" s="1065"/>
    </row>
    <row r="765">
      <c r="C765" s="1065"/>
      <c r="G765" s="1065"/>
    </row>
    <row r="766">
      <c r="C766" s="1065"/>
      <c r="G766" s="1065"/>
    </row>
    <row r="767">
      <c r="C767" s="1065"/>
      <c r="G767" s="1065"/>
    </row>
    <row r="768">
      <c r="C768" s="1065"/>
      <c r="G768" s="1065"/>
    </row>
    <row r="769">
      <c r="C769" s="1065"/>
      <c r="G769" s="1065"/>
    </row>
    <row r="770">
      <c r="C770" s="1065"/>
      <c r="G770" s="1065"/>
    </row>
    <row r="771">
      <c r="C771" s="1065"/>
      <c r="G771" s="1065"/>
    </row>
    <row r="772">
      <c r="C772" s="1065"/>
      <c r="G772" s="1065"/>
    </row>
    <row r="773">
      <c r="C773" s="1065"/>
      <c r="G773" s="1065"/>
    </row>
    <row r="774">
      <c r="C774" s="1065"/>
      <c r="G774" s="1065"/>
    </row>
    <row r="775">
      <c r="C775" s="1065"/>
      <c r="G775" s="1065"/>
    </row>
    <row r="776">
      <c r="C776" s="1065"/>
      <c r="G776" s="1065"/>
    </row>
    <row r="777">
      <c r="C777" s="1065"/>
      <c r="G777" s="1065"/>
    </row>
    <row r="778">
      <c r="C778" s="1065"/>
      <c r="G778" s="1065"/>
    </row>
    <row r="779">
      <c r="C779" s="1065"/>
      <c r="G779" s="1065"/>
    </row>
    <row r="780">
      <c r="C780" s="1065"/>
      <c r="G780" s="1065"/>
    </row>
    <row r="781">
      <c r="C781" s="1065"/>
      <c r="G781" s="1065"/>
    </row>
    <row r="782">
      <c r="C782" s="1065"/>
      <c r="G782" s="1065"/>
    </row>
    <row r="783">
      <c r="C783" s="1065"/>
      <c r="G783" s="1065"/>
    </row>
    <row r="784">
      <c r="C784" s="1065"/>
      <c r="G784" s="1065"/>
    </row>
    <row r="785">
      <c r="C785" s="1065"/>
      <c r="G785" s="1065"/>
    </row>
    <row r="786">
      <c r="C786" s="1065"/>
      <c r="G786" s="1065"/>
    </row>
    <row r="787">
      <c r="C787" s="1065"/>
      <c r="G787" s="1065"/>
    </row>
    <row r="788">
      <c r="C788" s="1065"/>
      <c r="G788" s="1065"/>
    </row>
    <row r="789">
      <c r="C789" s="1065"/>
      <c r="G789" s="1065"/>
    </row>
    <row r="790">
      <c r="C790" s="1065"/>
      <c r="G790" s="1065"/>
    </row>
    <row r="791">
      <c r="C791" s="1065"/>
      <c r="G791" s="1065"/>
    </row>
    <row r="792">
      <c r="C792" s="1065"/>
      <c r="G792" s="1065"/>
    </row>
    <row r="793">
      <c r="C793" s="1065"/>
      <c r="G793" s="1065"/>
    </row>
    <row r="794">
      <c r="C794" s="1065"/>
      <c r="G794" s="1065"/>
    </row>
    <row r="795">
      <c r="C795" s="1065"/>
      <c r="G795" s="1065"/>
    </row>
    <row r="796">
      <c r="C796" s="1065"/>
      <c r="G796" s="1065"/>
    </row>
    <row r="797">
      <c r="C797" s="1065"/>
      <c r="G797" s="1065"/>
    </row>
    <row r="798">
      <c r="C798" s="1065"/>
      <c r="G798" s="1065"/>
    </row>
    <row r="799">
      <c r="C799" s="1065"/>
      <c r="G799" s="1065"/>
    </row>
    <row r="800">
      <c r="C800" s="1065"/>
      <c r="G800" s="1065"/>
    </row>
    <row r="801">
      <c r="C801" s="1065"/>
      <c r="G801" s="1065"/>
    </row>
    <row r="802">
      <c r="C802" s="1065"/>
      <c r="G802" s="1065"/>
    </row>
    <row r="803">
      <c r="C803" s="1065"/>
      <c r="G803" s="1065"/>
    </row>
    <row r="804">
      <c r="C804" s="1065"/>
      <c r="G804" s="1065"/>
    </row>
    <row r="805">
      <c r="C805" s="1065"/>
      <c r="G805" s="1065"/>
    </row>
    <row r="806">
      <c r="C806" s="1065"/>
      <c r="G806" s="1065"/>
    </row>
    <row r="807">
      <c r="C807" s="1065"/>
      <c r="G807" s="1065"/>
    </row>
    <row r="808">
      <c r="C808" s="1065"/>
      <c r="G808" s="1065"/>
    </row>
    <row r="809">
      <c r="C809" s="1065"/>
      <c r="G809" s="1065"/>
    </row>
    <row r="810">
      <c r="C810" s="1065"/>
      <c r="G810" s="1065"/>
    </row>
    <row r="811">
      <c r="C811" s="1065"/>
      <c r="G811" s="1065"/>
    </row>
    <row r="812">
      <c r="C812" s="1065"/>
      <c r="G812" s="1065"/>
    </row>
    <row r="813">
      <c r="C813" s="1065"/>
      <c r="G813" s="1065"/>
    </row>
    <row r="814">
      <c r="C814" s="1065"/>
      <c r="G814" s="1065"/>
    </row>
    <row r="815">
      <c r="C815" s="1065"/>
      <c r="G815" s="1065"/>
    </row>
    <row r="816">
      <c r="C816" s="1065"/>
      <c r="G816" s="1065"/>
    </row>
    <row r="817">
      <c r="C817" s="1065"/>
      <c r="G817" s="1065"/>
    </row>
    <row r="818">
      <c r="C818" s="1065"/>
      <c r="G818" s="1065"/>
    </row>
    <row r="819">
      <c r="C819" s="1065"/>
      <c r="G819" s="1065"/>
    </row>
    <row r="820">
      <c r="C820" s="1065"/>
      <c r="G820" s="1065"/>
    </row>
    <row r="821">
      <c r="C821" s="1065"/>
      <c r="G821" s="1065"/>
    </row>
    <row r="822">
      <c r="C822" s="1065"/>
      <c r="G822" s="1065"/>
    </row>
    <row r="823">
      <c r="C823" s="1065"/>
      <c r="G823" s="1065"/>
    </row>
    <row r="824">
      <c r="C824" s="1065"/>
      <c r="G824" s="1065"/>
    </row>
    <row r="825">
      <c r="C825" s="1065"/>
      <c r="G825" s="1065"/>
    </row>
    <row r="826">
      <c r="C826" s="1065"/>
      <c r="G826" s="1065"/>
    </row>
    <row r="827">
      <c r="C827" s="1065"/>
      <c r="G827" s="1065"/>
    </row>
    <row r="828">
      <c r="C828" s="1065"/>
      <c r="G828" s="1065"/>
    </row>
    <row r="829">
      <c r="C829" s="1065"/>
      <c r="G829" s="1065"/>
    </row>
    <row r="830">
      <c r="C830" s="1065"/>
      <c r="G830" s="1065"/>
    </row>
    <row r="831">
      <c r="C831" s="1065"/>
      <c r="G831" s="1065"/>
    </row>
    <row r="832">
      <c r="C832" s="1065"/>
      <c r="G832" s="1065"/>
    </row>
    <row r="833">
      <c r="C833" s="1065"/>
      <c r="G833" s="1065"/>
    </row>
    <row r="834">
      <c r="C834" s="1065"/>
      <c r="G834" s="1065"/>
    </row>
    <row r="835">
      <c r="C835" s="1065"/>
      <c r="G835" s="1065"/>
    </row>
    <row r="836">
      <c r="C836" s="1065"/>
      <c r="G836" s="1065"/>
    </row>
    <row r="837">
      <c r="C837" s="1065"/>
      <c r="G837" s="1065"/>
    </row>
    <row r="838">
      <c r="C838" s="1065"/>
      <c r="G838" s="1065"/>
    </row>
    <row r="839">
      <c r="C839" s="1065"/>
      <c r="G839" s="1065"/>
    </row>
    <row r="840">
      <c r="C840" s="1065"/>
      <c r="G840" s="1065"/>
    </row>
    <row r="841">
      <c r="C841" s="1065"/>
      <c r="G841" s="1065"/>
    </row>
    <row r="842">
      <c r="C842" s="1065"/>
      <c r="G842" s="1065"/>
    </row>
    <row r="843">
      <c r="C843" s="1065"/>
      <c r="G843" s="1065"/>
    </row>
    <row r="844">
      <c r="C844" s="1065"/>
      <c r="G844" s="1065"/>
    </row>
    <row r="845">
      <c r="C845" s="1065"/>
      <c r="G845" s="1065"/>
    </row>
    <row r="846">
      <c r="C846" s="1065"/>
      <c r="G846" s="1065"/>
    </row>
    <row r="847">
      <c r="C847" s="1065"/>
      <c r="G847" s="1065"/>
    </row>
    <row r="848">
      <c r="C848" s="1065"/>
      <c r="G848" s="1065"/>
    </row>
    <row r="849">
      <c r="C849" s="1065"/>
      <c r="G849" s="1065"/>
    </row>
    <row r="850">
      <c r="C850" s="1065"/>
      <c r="G850" s="1065"/>
    </row>
    <row r="851">
      <c r="C851" s="1065"/>
      <c r="G851" s="1065"/>
    </row>
    <row r="852">
      <c r="C852" s="1065"/>
      <c r="G852" s="1065"/>
    </row>
    <row r="853">
      <c r="C853" s="1065"/>
      <c r="G853" s="1065"/>
    </row>
    <row r="854">
      <c r="C854" s="1065"/>
      <c r="G854" s="1065"/>
    </row>
    <row r="855">
      <c r="C855" s="1065"/>
      <c r="G855" s="1065"/>
    </row>
    <row r="856">
      <c r="C856" s="1065"/>
      <c r="G856" s="1065"/>
    </row>
    <row r="857">
      <c r="C857" s="1065"/>
      <c r="G857" s="1065"/>
    </row>
    <row r="858">
      <c r="C858" s="1065"/>
      <c r="G858" s="1065"/>
    </row>
    <row r="859">
      <c r="C859" s="1065"/>
      <c r="G859" s="1065"/>
    </row>
    <row r="860">
      <c r="C860" s="1065"/>
      <c r="G860" s="1065"/>
    </row>
    <row r="861">
      <c r="C861" s="1065"/>
      <c r="G861" s="1065"/>
    </row>
    <row r="862">
      <c r="C862" s="1065"/>
      <c r="G862" s="1065"/>
    </row>
    <row r="863">
      <c r="C863" s="1065"/>
      <c r="G863" s="1065"/>
    </row>
    <row r="864">
      <c r="C864" s="1065"/>
      <c r="G864" s="1065"/>
    </row>
    <row r="865">
      <c r="C865" s="1065"/>
      <c r="G865" s="1065"/>
    </row>
    <row r="866">
      <c r="C866" s="1065"/>
      <c r="G866" s="1065"/>
    </row>
    <row r="867">
      <c r="C867" s="1065"/>
      <c r="G867" s="1065"/>
    </row>
    <row r="868">
      <c r="C868" s="1065"/>
      <c r="G868" s="1065"/>
    </row>
    <row r="869">
      <c r="C869" s="1065"/>
      <c r="G869" s="1065"/>
    </row>
    <row r="870">
      <c r="C870" s="1065"/>
      <c r="G870" s="1065"/>
    </row>
    <row r="871">
      <c r="C871" s="1065"/>
      <c r="G871" s="1065"/>
    </row>
    <row r="872">
      <c r="C872" s="1065"/>
      <c r="G872" s="1065"/>
    </row>
    <row r="873">
      <c r="C873" s="1065"/>
      <c r="G873" s="1065"/>
    </row>
    <row r="874">
      <c r="C874" s="1065"/>
      <c r="G874" s="1065"/>
    </row>
    <row r="875">
      <c r="C875" s="1065"/>
      <c r="G875" s="1065"/>
    </row>
    <row r="876">
      <c r="C876" s="1065"/>
      <c r="G876" s="1065"/>
    </row>
    <row r="877">
      <c r="C877" s="1065"/>
      <c r="G877" s="1065"/>
    </row>
    <row r="878">
      <c r="C878" s="1065"/>
      <c r="G878" s="1065"/>
    </row>
    <row r="879">
      <c r="C879" s="1065"/>
      <c r="G879" s="1065"/>
    </row>
    <row r="880">
      <c r="C880" s="1065"/>
      <c r="G880" s="1065"/>
    </row>
    <row r="881">
      <c r="C881" s="1065"/>
      <c r="G881" s="1065"/>
    </row>
    <row r="882">
      <c r="C882" s="1065"/>
      <c r="G882" s="1065"/>
    </row>
    <row r="883">
      <c r="C883" s="1065"/>
      <c r="G883" s="1065"/>
    </row>
    <row r="884">
      <c r="C884" s="1065"/>
      <c r="G884" s="1065"/>
    </row>
    <row r="885">
      <c r="C885" s="1065"/>
      <c r="G885" s="1065"/>
    </row>
    <row r="886">
      <c r="C886" s="1065"/>
      <c r="G886" s="1065"/>
    </row>
    <row r="887">
      <c r="C887" s="1065"/>
      <c r="G887" s="1065"/>
    </row>
    <row r="888">
      <c r="C888" s="1065"/>
      <c r="G888" s="1065"/>
    </row>
    <row r="889">
      <c r="C889" s="1065"/>
      <c r="G889" s="1065"/>
    </row>
    <row r="890">
      <c r="C890" s="1065"/>
      <c r="G890" s="1065"/>
    </row>
    <row r="891">
      <c r="C891" s="1065"/>
      <c r="G891" s="1065"/>
    </row>
    <row r="892">
      <c r="C892" s="1065"/>
      <c r="G892" s="1065"/>
    </row>
    <row r="893">
      <c r="C893" s="1065"/>
      <c r="G893" s="1065"/>
    </row>
    <row r="894">
      <c r="C894" s="1065"/>
      <c r="G894" s="1065"/>
    </row>
    <row r="895">
      <c r="C895" s="1065"/>
      <c r="G895" s="1065"/>
    </row>
    <row r="896">
      <c r="C896" s="1065"/>
      <c r="G896" s="1065"/>
    </row>
    <row r="897">
      <c r="C897" s="1065"/>
      <c r="G897" s="1065"/>
    </row>
    <row r="898">
      <c r="C898" s="1065"/>
      <c r="G898" s="1065"/>
    </row>
    <row r="899">
      <c r="C899" s="1065"/>
      <c r="G899" s="1065"/>
    </row>
    <row r="900">
      <c r="C900" s="1065"/>
      <c r="G900" s="1065"/>
    </row>
    <row r="901">
      <c r="C901" s="1065"/>
      <c r="G901" s="1065"/>
    </row>
    <row r="902">
      <c r="C902" s="1065"/>
      <c r="G902" s="1065"/>
    </row>
    <row r="903">
      <c r="C903" s="1065"/>
      <c r="G903" s="1065"/>
    </row>
    <row r="904">
      <c r="C904" s="1065"/>
      <c r="G904" s="1065"/>
    </row>
    <row r="905">
      <c r="C905" s="1065"/>
      <c r="G905" s="1065"/>
    </row>
    <row r="906">
      <c r="C906" s="1065"/>
      <c r="G906" s="1065"/>
    </row>
    <row r="907">
      <c r="C907" s="1065"/>
      <c r="G907" s="1065"/>
    </row>
    <row r="908">
      <c r="C908" s="1065"/>
      <c r="G908" s="1065"/>
    </row>
    <row r="909">
      <c r="C909" s="1065"/>
      <c r="G909" s="1065"/>
    </row>
    <row r="910">
      <c r="C910" s="1065"/>
      <c r="G910" s="1065"/>
    </row>
    <row r="911">
      <c r="C911" s="1065"/>
      <c r="G911" s="1065"/>
    </row>
    <row r="912">
      <c r="C912" s="1065"/>
      <c r="G912" s="1065"/>
    </row>
    <row r="913">
      <c r="C913" s="1065"/>
      <c r="G913" s="1065"/>
    </row>
    <row r="914">
      <c r="C914" s="1065"/>
      <c r="G914" s="1065"/>
    </row>
    <row r="915">
      <c r="C915" s="1065"/>
      <c r="G915" s="1065"/>
    </row>
    <row r="916">
      <c r="C916" s="1065"/>
      <c r="G916" s="1065"/>
    </row>
    <row r="917">
      <c r="C917" s="1065"/>
      <c r="G917" s="1065"/>
    </row>
    <row r="918">
      <c r="C918" s="1065"/>
      <c r="G918" s="1065"/>
    </row>
    <row r="919">
      <c r="C919" s="1065"/>
      <c r="G919" s="1065"/>
    </row>
    <row r="920">
      <c r="C920" s="1065"/>
      <c r="G920" s="1065"/>
    </row>
    <row r="921">
      <c r="C921" s="1065"/>
      <c r="G921" s="1065"/>
    </row>
    <row r="922">
      <c r="C922" s="1065"/>
      <c r="G922" s="1065"/>
    </row>
    <row r="923">
      <c r="C923" s="1065"/>
      <c r="G923" s="1065"/>
    </row>
    <row r="924">
      <c r="C924" s="1065"/>
      <c r="G924" s="1065"/>
    </row>
    <row r="925">
      <c r="C925" s="1065"/>
      <c r="G925" s="1065"/>
    </row>
    <row r="926">
      <c r="C926" s="1065"/>
      <c r="G926" s="1065"/>
    </row>
    <row r="927">
      <c r="C927" s="1065"/>
      <c r="G927" s="1065"/>
    </row>
    <row r="928">
      <c r="C928" s="1065"/>
      <c r="G928" s="1065"/>
    </row>
    <row r="929">
      <c r="C929" s="1065"/>
      <c r="G929" s="1065"/>
    </row>
    <row r="930">
      <c r="C930" s="1065"/>
      <c r="G930" s="1065"/>
    </row>
    <row r="931">
      <c r="C931" s="1065"/>
      <c r="G931" s="1065"/>
    </row>
    <row r="932">
      <c r="C932" s="1065"/>
      <c r="G932" s="1065"/>
    </row>
    <row r="933">
      <c r="C933" s="1065"/>
      <c r="G933" s="1065"/>
    </row>
    <row r="934">
      <c r="C934" s="1065"/>
      <c r="G934" s="1065"/>
    </row>
    <row r="935">
      <c r="C935" s="1065"/>
      <c r="G935" s="1065"/>
    </row>
    <row r="936">
      <c r="C936" s="1065"/>
      <c r="G936" s="1065"/>
    </row>
    <row r="937">
      <c r="C937" s="1065"/>
      <c r="G937" s="1065"/>
    </row>
    <row r="938">
      <c r="C938" s="1065"/>
      <c r="G938" s="1065"/>
    </row>
    <row r="939">
      <c r="C939" s="1065"/>
      <c r="G939" s="1065"/>
    </row>
    <row r="940">
      <c r="C940" s="1065"/>
      <c r="G940" s="1065"/>
    </row>
    <row r="941">
      <c r="C941" s="1065"/>
      <c r="G941" s="1065"/>
    </row>
    <row r="942">
      <c r="C942" s="1065"/>
      <c r="G942" s="1065"/>
    </row>
    <row r="943">
      <c r="C943" s="1065"/>
      <c r="G943" s="1065"/>
    </row>
    <row r="944">
      <c r="C944" s="1065"/>
      <c r="G944" s="1065"/>
    </row>
    <row r="945">
      <c r="C945" s="1065"/>
      <c r="G945" s="1065"/>
    </row>
    <row r="946">
      <c r="C946" s="1065"/>
      <c r="G946" s="1065"/>
    </row>
    <row r="947">
      <c r="C947" s="1065"/>
      <c r="G947" s="1065"/>
    </row>
    <row r="948">
      <c r="C948" s="1065"/>
      <c r="G948" s="1065"/>
    </row>
    <row r="949">
      <c r="C949" s="1065"/>
      <c r="G949" s="1065"/>
    </row>
    <row r="950">
      <c r="C950" s="1065"/>
      <c r="G950" s="1065"/>
    </row>
    <row r="951">
      <c r="C951" s="1065"/>
      <c r="G951" s="1065"/>
    </row>
    <row r="952">
      <c r="C952" s="1065"/>
      <c r="G952" s="1065"/>
    </row>
    <row r="953">
      <c r="C953" s="1065"/>
      <c r="G953" s="1065"/>
    </row>
    <row r="954">
      <c r="C954" s="1065"/>
      <c r="G954" s="1065"/>
    </row>
    <row r="955">
      <c r="C955" s="1065"/>
      <c r="G955" s="1065"/>
    </row>
    <row r="956">
      <c r="C956" s="1065"/>
      <c r="G956" s="1065"/>
    </row>
    <row r="957">
      <c r="C957" s="1065"/>
      <c r="G957" s="1065"/>
    </row>
    <row r="958">
      <c r="C958" s="1065"/>
      <c r="G958" s="1065"/>
    </row>
    <row r="959">
      <c r="C959" s="1065"/>
      <c r="G959" s="1065"/>
    </row>
    <row r="960">
      <c r="C960" s="1065"/>
      <c r="G960" s="1065"/>
    </row>
    <row r="961">
      <c r="C961" s="1065"/>
      <c r="G961" s="1065"/>
    </row>
    <row r="962">
      <c r="C962" s="1065"/>
      <c r="G962" s="1065"/>
    </row>
    <row r="963">
      <c r="C963" s="1065"/>
      <c r="G963" s="1065"/>
    </row>
    <row r="964">
      <c r="C964" s="1065"/>
      <c r="G964" s="1065"/>
    </row>
    <row r="965">
      <c r="C965" s="1065"/>
      <c r="G965" s="1065"/>
    </row>
    <row r="966">
      <c r="C966" s="1065"/>
      <c r="G966" s="1065"/>
    </row>
    <row r="967">
      <c r="C967" s="1065"/>
      <c r="G967" s="1065"/>
    </row>
    <row r="968">
      <c r="C968" s="1065"/>
      <c r="G968" s="1065"/>
    </row>
    <row r="969">
      <c r="C969" s="1065"/>
      <c r="G969" s="1065"/>
    </row>
    <row r="970">
      <c r="C970" s="1065"/>
      <c r="G970" s="1065"/>
    </row>
    <row r="971">
      <c r="C971" s="1065"/>
      <c r="G971" s="1065"/>
    </row>
    <row r="972">
      <c r="C972" s="1065"/>
      <c r="G972" s="1065"/>
    </row>
    <row r="973">
      <c r="C973" s="1065"/>
      <c r="G973" s="1065"/>
    </row>
    <row r="974">
      <c r="C974" s="1065"/>
      <c r="G974" s="1065"/>
    </row>
    <row r="975">
      <c r="C975" s="1065"/>
      <c r="G975" s="1065"/>
    </row>
    <row r="976">
      <c r="C976" s="1065"/>
      <c r="G976" s="1065"/>
    </row>
    <row r="977">
      <c r="C977" s="1065"/>
      <c r="G977" s="1065"/>
    </row>
    <row r="978">
      <c r="C978" s="1065"/>
      <c r="G978" s="1065"/>
    </row>
    <row r="979">
      <c r="C979" s="1065"/>
      <c r="G979" s="1065"/>
    </row>
    <row r="980">
      <c r="C980" s="1065"/>
      <c r="G980" s="1065"/>
    </row>
    <row r="981">
      <c r="C981" s="1065"/>
      <c r="G981" s="1065"/>
    </row>
    <row r="982">
      <c r="C982" s="1065"/>
      <c r="G982" s="1065"/>
    </row>
    <row r="983">
      <c r="C983" s="1065"/>
      <c r="G983" s="1065"/>
    </row>
    <row r="984">
      <c r="C984" s="1065"/>
      <c r="G984" s="1065"/>
    </row>
    <row r="985">
      <c r="C985" s="1065"/>
      <c r="G985" s="1065"/>
    </row>
    <row r="986">
      <c r="C986" s="1065"/>
      <c r="G986" s="1065"/>
    </row>
    <row r="987">
      <c r="C987" s="1065"/>
      <c r="G987" s="1065"/>
    </row>
    <row r="988">
      <c r="C988" s="1065"/>
      <c r="G988" s="1065"/>
    </row>
    <row r="989">
      <c r="C989" s="1065"/>
      <c r="G989" s="1065"/>
    </row>
    <row r="990">
      <c r="C990" s="1065"/>
      <c r="G990" s="1065"/>
    </row>
    <row r="991">
      <c r="C991" s="1065"/>
      <c r="G991" s="1065"/>
    </row>
    <row r="992">
      <c r="C992" s="1065"/>
      <c r="G992" s="1065"/>
    </row>
    <row r="993">
      <c r="C993" s="1065"/>
      <c r="G993" s="1065"/>
    </row>
    <row r="994">
      <c r="C994" s="1065"/>
      <c r="G994" s="1065"/>
    </row>
    <row r="995">
      <c r="C995" s="1065"/>
      <c r="G995" s="1065"/>
    </row>
    <row r="996">
      <c r="C996" s="1065"/>
      <c r="G996" s="1065"/>
    </row>
    <row r="997">
      <c r="C997" s="1065"/>
      <c r="G997" s="1065"/>
    </row>
    <row r="998">
      <c r="C998" s="1065"/>
      <c r="G998" s="1065"/>
    </row>
    <row r="999">
      <c r="C999" s="1065"/>
      <c r="G999" s="1065"/>
    </row>
    <row r="1000">
      <c r="C1000" s="1065"/>
      <c r="G1000" s="1065"/>
    </row>
    <row r="1001">
      <c r="C1001" s="1065"/>
      <c r="G1001" s="1065"/>
    </row>
    <row r="1002">
      <c r="C1002" s="1065"/>
      <c r="G1002" s="1065"/>
    </row>
    <row r="1003">
      <c r="C1003" s="1065"/>
      <c r="G1003" s="1065"/>
    </row>
    <row r="1004">
      <c r="C1004" s="1065"/>
      <c r="G1004" s="1065"/>
    </row>
    <row r="1005">
      <c r="C1005" s="1065"/>
      <c r="G1005" s="1065"/>
    </row>
    <row r="1006">
      <c r="C1006" s="1065"/>
      <c r="G1006" s="1065"/>
    </row>
    <row r="1007">
      <c r="C1007" s="1065"/>
      <c r="G1007" s="1065"/>
    </row>
    <row r="1008">
      <c r="C1008" s="1065"/>
      <c r="G1008" s="1065"/>
    </row>
    <row r="1009">
      <c r="C1009" s="1065"/>
      <c r="G1009" s="1065"/>
    </row>
    <row r="1010">
      <c r="C1010" s="1065"/>
      <c r="G1010" s="1065"/>
    </row>
    <row r="1011">
      <c r="C1011" s="1065"/>
      <c r="G1011" s="1065"/>
    </row>
    <row r="1012">
      <c r="C1012" s="1065"/>
      <c r="G1012" s="1065"/>
    </row>
    <row r="1013">
      <c r="C1013" s="1065"/>
      <c r="G1013" s="1065"/>
    </row>
    <row r="1014">
      <c r="C1014" s="1065"/>
      <c r="G1014" s="1065"/>
    </row>
    <row r="1015">
      <c r="C1015" s="1065"/>
      <c r="G1015" s="1065"/>
    </row>
    <row r="1016">
      <c r="C1016" s="1065"/>
      <c r="G1016" s="1065"/>
    </row>
    <row r="1017">
      <c r="C1017" s="1065"/>
      <c r="G1017" s="1065"/>
    </row>
    <row r="1018">
      <c r="C1018" s="1065"/>
      <c r="G1018" s="1065"/>
    </row>
    <row r="1019">
      <c r="C1019" s="1065"/>
      <c r="G1019" s="1065"/>
    </row>
    <row r="1020">
      <c r="C1020" s="1065"/>
      <c r="G1020" s="1065"/>
    </row>
    <row r="1021">
      <c r="C1021" s="1065"/>
      <c r="G1021" s="1065"/>
    </row>
    <row r="1022">
      <c r="C1022" s="1065"/>
      <c r="G1022" s="1065"/>
    </row>
    <row r="1023">
      <c r="C1023" s="1065"/>
      <c r="G1023" s="1065"/>
    </row>
    <row r="1024">
      <c r="C1024" s="1065"/>
      <c r="G1024" s="1065"/>
    </row>
    <row r="1025">
      <c r="C1025" s="1065"/>
      <c r="G1025" s="1065"/>
    </row>
    <row r="1026">
      <c r="C1026" s="1065"/>
      <c r="G1026" s="1065"/>
    </row>
    <row r="1027">
      <c r="C1027" s="1065"/>
      <c r="G1027" s="1065"/>
    </row>
    <row r="1028">
      <c r="C1028" s="1065"/>
      <c r="G1028" s="1065"/>
    </row>
    <row r="1029">
      <c r="C1029" s="1065"/>
      <c r="G1029" s="1065"/>
    </row>
    <row r="1030">
      <c r="C1030" s="1065"/>
      <c r="G1030" s="1065"/>
    </row>
    <row r="1031">
      <c r="C1031" s="1065"/>
      <c r="G1031" s="1065"/>
    </row>
    <row r="1032">
      <c r="C1032" s="1065"/>
      <c r="G1032" s="1065"/>
    </row>
    <row r="1033">
      <c r="C1033" s="1065"/>
      <c r="G1033" s="1065"/>
    </row>
    <row r="1034">
      <c r="C1034" s="1065"/>
      <c r="G1034" s="1065"/>
    </row>
    <row r="1035">
      <c r="C1035" s="1065"/>
      <c r="G1035" s="1065"/>
    </row>
    <row r="1036">
      <c r="C1036" s="1065"/>
      <c r="G1036" s="1065"/>
    </row>
    <row r="1037">
      <c r="C1037" s="1065"/>
      <c r="G1037" s="1065"/>
    </row>
    <row r="1038">
      <c r="C1038" s="1065"/>
      <c r="G1038" s="1065"/>
    </row>
    <row r="1039">
      <c r="C1039" s="1065"/>
      <c r="G1039" s="1065"/>
    </row>
    <row r="1040">
      <c r="C1040" s="1065"/>
      <c r="G1040" s="1065"/>
    </row>
    <row r="1041">
      <c r="C1041" s="1065"/>
      <c r="G1041" s="1065"/>
    </row>
    <row r="1042">
      <c r="C1042" s="1065"/>
      <c r="G1042" s="1065"/>
    </row>
    <row r="1043">
      <c r="C1043" s="1065"/>
      <c r="G1043" s="1065"/>
    </row>
    <row r="1044">
      <c r="C1044" s="1065"/>
      <c r="G1044" s="1065"/>
    </row>
    <row r="1045">
      <c r="C1045" s="1065"/>
      <c r="G1045" s="1065"/>
    </row>
    <row r="1046">
      <c r="C1046" s="1065"/>
      <c r="G1046" s="1065"/>
    </row>
    <row r="1047">
      <c r="C1047" s="1065"/>
      <c r="G1047" s="1065"/>
    </row>
    <row r="1048">
      <c r="C1048" s="1065"/>
      <c r="G1048" s="1065"/>
    </row>
    <row r="1049">
      <c r="C1049" s="1065"/>
      <c r="G1049" s="1065"/>
    </row>
    <row r="1050">
      <c r="C1050" s="1065"/>
      <c r="G1050" s="1065"/>
    </row>
    <row r="1051">
      <c r="C1051" s="1065"/>
      <c r="G1051" s="1065"/>
    </row>
    <row r="1052">
      <c r="C1052" s="1065"/>
      <c r="G1052" s="1065"/>
    </row>
    <row r="1053">
      <c r="C1053" s="1065"/>
      <c r="G1053" s="1065"/>
    </row>
    <row r="1054">
      <c r="C1054" s="1065"/>
      <c r="G1054" s="1065"/>
    </row>
    <row r="1055">
      <c r="C1055" s="1065"/>
      <c r="G1055" s="1065"/>
    </row>
    <row r="1056">
      <c r="C1056" s="1065"/>
      <c r="G1056" s="1065"/>
    </row>
    <row r="1057">
      <c r="C1057" s="1065"/>
      <c r="G1057" s="1065"/>
    </row>
    <row r="1058">
      <c r="C1058" s="1065"/>
      <c r="G1058" s="1065"/>
    </row>
    <row r="1059">
      <c r="C1059" s="1065"/>
      <c r="G1059" s="1065"/>
    </row>
    <row r="1060">
      <c r="C1060" s="1065"/>
      <c r="G1060" s="1065"/>
    </row>
    <row r="1061">
      <c r="C1061" s="1065"/>
      <c r="G1061" s="1065"/>
    </row>
    <row r="1062">
      <c r="C1062" s="1065"/>
      <c r="G1062" s="1065"/>
    </row>
    <row r="1063">
      <c r="C1063" s="1065"/>
      <c r="G1063" s="1065"/>
    </row>
    <row r="1064">
      <c r="C1064" s="1065"/>
      <c r="G1064" s="1065"/>
    </row>
    <row r="1065">
      <c r="C1065" s="1065"/>
      <c r="G1065" s="1065"/>
    </row>
    <row r="1066">
      <c r="C1066" s="1065"/>
      <c r="G1066" s="1065"/>
    </row>
    <row r="1067">
      <c r="C1067" s="1065"/>
      <c r="G1067" s="1065"/>
    </row>
    <row r="1068">
      <c r="C1068" s="1065"/>
      <c r="G1068" s="1065"/>
    </row>
    <row r="1069">
      <c r="C1069" s="1065"/>
      <c r="G1069" s="1065"/>
    </row>
  </sheetData>
  <customSheetViews>
    <customSheetView guid="{A616207E-E757-47DF-B013-1F244C6B72C9}" filter="1" showAutoFilter="1">
      <autoFilter ref="$A$1:$H$331">
        <filterColumn colId="1">
          <filters>
            <filter val="11"/>
            <filter val="9"/>
            <filter val="10"/>
          </filters>
        </filterColumn>
      </autoFilter>
    </customSheetView>
  </customSheetView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sheetData>
  <drawing r:id="rId2"/>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4.75"/>
    <col customWidth="1" min="5" max="5" width="18.63"/>
    <col customWidth="1" min="6" max="6" width="14.75"/>
  </cols>
  <sheetData>
    <row r="1">
      <c r="A1" s="199" t="s">
        <v>1758</v>
      </c>
      <c r="B1" s="199" t="s">
        <v>6</v>
      </c>
      <c r="C1" s="199" t="s">
        <v>1759</v>
      </c>
      <c r="D1" s="199" t="s">
        <v>39</v>
      </c>
      <c r="E1" s="199" t="s">
        <v>38</v>
      </c>
      <c r="F1" s="199" t="s">
        <v>1760</v>
      </c>
      <c r="G1" s="199" t="s">
        <v>1761</v>
      </c>
      <c r="I1" s="199" t="s">
        <v>1762</v>
      </c>
      <c r="J1" s="199" t="s">
        <v>1763</v>
      </c>
      <c r="P1" s="199" t="s">
        <v>1764</v>
      </c>
    </row>
    <row r="2">
      <c r="A2" s="199" t="s">
        <v>75</v>
      </c>
      <c r="B2" s="199">
        <v>10.0</v>
      </c>
      <c r="C2" s="944">
        <v>0.628</v>
      </c>
      <c r="D2" s="944">
        <v>0.628</v>
      </c>
      <c r="E2" s="944">
        <v>0.084</v>
      </c>
      <c r="F2" s="944">
        <v>0.846</v>
      </c>
      <c r="G2" s="641">
        <v>1.0</v>
      </c>
    </row>
    <row r="3">
      <c r="A3" s="199" t="s">
        <v>75</v>
      </c>
      <c r="B3" s="199">
        <v>11.0</v>
      </c>
      <c r="C3" s="944">
        <v>0.442</v>
      </c>
      <c r="D3" s="944">
        <v>0.442</v>
      </c>
      <c r="E3" s="944">
        <v>0.128</v>
      </c>
      <c r="F3" s="944">
        <v>0.676</v>
      </c>
      <c r="G3" s="641">
        <v>1.0</v>
      </c>
    </row>
    <row r="4">
      <c r="A4" s="199" t="s">
        <v>75</v>
      </c>
      <c r="B4" s="199">
        <v>12.0</v>
      </c>
      <c r="C4" s="944">
        <v>0.491</v>
      </c>
      <c r="D4" s="944">
        <v>0.491</v>
      </c>
      <c r="E4" s="944">
        <v>0.081</v>
      </c>
      <c r="F4" s="944">
        <v>0.785</v>
      </c>
      <c r="G4" s="641">
        <v>0.5</v>
      </c>
    </row>
    <row r="5">
      <c r="A5" s="199" t="s">
        <v>1765</v>
      </c>
      <c r="B5" s="199">
        <v>10.0</v>
      </c>
      <c r="C5" s="944">
        <v>0.485</v>
      </c>
      <c r="D5" s="944">
        <v>0.626</v>
      </c>
      <c r="E5" s="944">
        <v>0.228</v>
      </c>
      <c r="F5" s="944">
        <v>1.0</v>
      </c>
      <c r="G5" s="641">
        <v>1.0</v>
      </c>
    </row>
    <row r="6">
      <c r="A6" s="199" t="s">
        <v>1765</v>
      </c>
      <c r="B6" s="199">
        <v>11.0</v>
      </c>
      <c r="C6" s="944">
        <v>0.469</v>
      </c>
      <c r="D6" s="944">
        <v>0.555</v>
      </c>
      <c r="E6" s="944">
        <v>0.157</v>
      </c>
      <c r="F6" s="944">
        <v>1.114</v>
      </c>
      <c r="G6" s="641">
        <v>1.0</v>
      </c>
    </row>
    <row r="7">
      <c r="A7" s="199" t="s">
        <v>1765</v>
      </c>
      <c r="B7" s="199">
        <v>12.0</v>
      </c>
      <c r="C7" s="944">
        <v>0.625</v>
      </c>
      <c r="D7" s="944">
        <v>0.672</v>
      </c>
      <c r="E7" s="944">
        <v>0.091</v>
      </c>
      <c r="F7" s="944">
        <v>0.986</v>
      </c>
      <c r="G7" s="641">
        <v>0.5</v>
      </c>
    </row>
    <row r="8">
      <c r="A8" s="199" t="s">
        <v>1319</v>
      </c>
      <c r="B8" s="199">
        <v>10.0</v>
      </c>
      <c r="C8" s="944">
        <v>0.433</v>
      </c>
      <c r="D8" s="944">
        <v>0.76</v>
      </c>
      <c r="E8" s="944">
        <v>0.206</v>
      </c>
      <c r="F8" s="944">
        <v>0.961</v>
      </c>
      <c r="G8" s="641">
        <v>0.5</v>
      </c>
    </row>
    <row r="9">
      <c r="A9" s="199" t="s">
        <v>1319</v>
      </c>
      <c r="B9" s="199">
        <v>11.0</v>
      </c>
      <c r="C9" s="944">
        <v>0.344</v>
      </c>
      <c r="D9" s="944">
        <v>0.549</v>
      </c>
      <c r="E9" s="944">
        <v>0.121</v>
      </c>
      <c r="F9" s="944">
        <v>0.856</v>
      </c>
      <c r="G9" s="641">
        <v>0.5</v>
      </c>
    </row>
    <row r="10">
      <c r="A10" s="199" t="s">
        <v>1319</v>
      </c>
      <c r="B10" s="199">
        <v>12.0</v>
      </c>
      <c r="C10" s="944">
        <v>0.431</v>
      </c>
      <c r="D10" s="944">
        <v>0.667</v>
      </c>
      <c r="E10" s="944">
        <v>0.063</v>
      </c>
      <c r="F10" s="944">
        <v>0.963</v>
      </c>
      <c r="G10" s="641">
        <v>1.0</v>
      </c>
    </row>
    <row r="11">
      <c r="A11" s="199" t="s">
        <v>1120</v>
      </c>
      <c r="B11" s="199">
        <v>10.0</v>
      </c>
      <c r="C11" s="944">
        <v>0.86</v>
      </c>
      <c r="D11" s="944">
        <v>0.893</v>
      </c>
      <c r="E11" s="944">
        <v>0.406</v>
      </c>
      <c r="F11" s="944">
        <v>0.745</v>
      </c>
      <c r="G11" s="641">
        <v>1.0</v>
      </c>
    </row>
    <row r="12">
      <c r="A12" s="199" t="s">
        <v>1120</v>
      </c>
      <c r="B12" s="199">
        <v>11.0</v>
      </c>
      <c r="C12" s="944">
        <v>0.876</v>
      </c>
      <c r="D12" s="944">
        <v>0.741</v>
      </c>
      <c r="E12" s="944">
        <v>0.342</v>
      </c>
      <c r="F12" s="944">
        <v>0.693</v>
      </c>
      <c r="G12" s="641">
        <v>0.0</v>
      </c>
    </row>
    <row r="13">
      <c r="A13" s="199" t="s">
        <v>1120</v>
      </c>
      <c r="B13" s="199">
        <v>12.0</v>
      </c>
      <c r="C13" s="944">
        <v>0.817</v>
      </c>
      <c r="D13" s="944">
        <v>0.936</v>
      </c>
      <c r="E13" s="944">
        <v>0.268</v>
      </c>
      <c r="F13" s="944">
        <v>0.683</v>
      </c>
      <c r="G13" s="641">
        <v>1.0</v>
      </c>
    </row>
    <row r="14">
      <c r="A14" s="199" t="s">
        <v>818</v>
      </c>
      <c r="B14" s="199">
        <v>10.0</v>
      </c>
      <c r="D14" s="944">
        <v>1.0</v>
      </c>
      <c r="E14" s="944">
        <v>0.355</v>
      </c>
      <c r="F14" s="944">
        <v>0.674</v>
      </c>
      <c r="G14" s="641">
        <v>0.0</v>
      </c>
    </row>
    <row r="15">
      <c r="A15" s="199" t="s">
        <v>818</v>
      </c>
      <c r="B15" s="199">
        <v>11.0</v>
      </c>
      <c r="D15" s="944">
        <v>0.86</v>
      </c>
      <c r="E15" s="944">
        <v>0.102</v>
      </c>
      <c r="F15" s="944">
        <v>0.801</v>
      </c>
      <c r="G15" s="641">
        <v>1.0</v>
      </c>
    </row>
    <row r="16">
      <c r="A16" s="199" t="s">
        <v>818</v>
      </c>
      <c r="B16" s="199">
        <v>12.0</v>
      </c>
      <c r="D16" s="944">
        <v>1.0</v>
      </c>
      <c r="E16" s="944">
        <v>0.148</v>
      </c>
      <c r="F16" s="944">
        <v>0.5</v>
      </c>
      <c r="G16" s="641">
        <v>0.5</v>
      </c>
    </row>
    <row r="17">
      <c r="A17" s="199" t="s">
        <v>158</v>
      </c>
      <c r="B17" s="199">
        <v>10.0</v>
      </c>
      <c r="C17" s="944">
        <v>0.735</v>
      </c>
      <c r="D17" s="944">
        <v>0.569</v>
      </c>
      <c r="E17" s="944">
        <v>0.024</v>
      </c>
      <c r="F17" s="944">
        <v>0.927</v>
      </c>
      <c r="G17" s="641">
        <v>1.0</v>
      </c>
    </row>
    <row r="18">
      <c r="A18" s="199" t="s">
        <v>158</v>
      </c>
      <c r="B18" s="199">
        <v>11.0</v>
      </c>
      <c r="C18" s="944">
        <v>0.76</v>
      </c>
      <c r="D18" s="944">
        <v>0.652</v>
      </c>
      <c r="E18" s="944">
        <v>0.051</v>
      </c>
      <c r="F18" s="944">
        <v>0.551</v>
      </c>
      <c r="G18" s="641">
        <v>0.0</v>
      </c>
    </row>
    <row r="19">
      <c r="A19" s="199" t="s">
        <v>158</v>
      </c>
      <c r="B19" s="199">
        <v>12.0</v>
      </c>
      <c r="C19" s="944">
        <v>0.669</v>
      </c>
      <c r="D19" s="944">
        <v>0.768</v>
      </c>
      <c r="E19" s="944">
        <v>0.097</v>
      </c>
      <c r="F19" s="944">
        <v>1.007</v>
      </c>
      <c r="G19" s="641">
        <v>1.0</v>
      </c>
    </row>
    <row r="20">
      <c r="A20" s="199" t="s">
        <v>1766</v>
      </c>
      <c r="B20" s="199">
        <v>10.0</v>
      </c>
      <c r="C20" s="944">
        <v>0.79</v>
      </c>
      <c r="D20" s="944">
        <v>0.829</v>
      </c>
      <c r="E20" s="944">
        <v>0.135</v>
      </c>
      <c r="F20" s="944">
        <v>0.93</v>
      </c>
      <c r="G20" s="641">
        <v>1.0</v>
      </c>
    </row>
    <row r="21">
      <c r="A21" s="199" t="s">
        <v>1766</v>
      </c>
      <c r="B21" s="199">
        <v>11.0</v>
      </c>
      <c r="C21" s="944">
        <v>0.915</v>
      </c>
      <c r="D21" s="944">
        <v>0.818</v>
      </c>
      <c r="E21" s="944">
        <v>0.096</v>
      </c>
      <c r="F21" s="944">
        <v>0.974</v>
      </c>
      <c r="G21" s="641">
        <v>1.0</v>
      </c>
    </row>
    <row r="22">
      <c r="A22" s="199" t="s">
        <v>1766</v>
      </c>
      <c r="B22" s="199">
        <v>12.0</v>
      </c>
      <c r="C22" s="944">
        <v>1.003</v>
      </c>
      <c r="D22" s="944">
        <v>0.866</v>
      </c>
      <c r="E22" s="944">
        <v>0.098</v>
      </c>
      <c r="F22" s="944">
        <v>0.542</v>
      </c>
      <c r="G22" s="641">
        <v>0.0</v>
      </c>
    </row>
    <row r="23">
      <c r="A23" s="199" t="s">
        <v>1767</v>
      </c>
      <c r="B23" s="199">
        <v>10.0</v>
      </c>
      <c r="C23" s="944">
        <v>0.675</v>
      </c>
      <c r="D23" s="944">
        <v>0.726</v>
      </c>
      <c r="E23" s="944">
        <v>0.152</v>
      </c>
      <c r="F23" s="944">
        <v>0.76</v>
      </c>
      <c r="G23" s="641">
        <v>0.5</v>
      </c>
    </row>
    <row r="24">
      <c r="A24" s="199" t="s">
        <v>1767</v>
      </c>
      <c r="B24" s="199">
        <v>11.0</v>
      </c>
      <c r="C24" s="944">
        <v>0.961</v>
      </c>
      <c r="D24" s="944">
        <v>0.975</v>
      </c>
      <c r="E24" s="944">
        <v>0.512</v>
      </c>
      <c r="F24" s="944">
        <v>0.864</v>
      </c>
      <c r="G24" s="641">
        <v>0.5</v>
      </c>
    </row>
    <row r="25">
      <c r="A25" s="199" t="s">
        <v>1767</v>
      </c>
      <c r="B25" s="199">
        <v>12.0</v>
      </c>
      <c r="C25" s="944">
        <v>0.691</v>
      </c>
      <c r="D25" s="944">
        <v>0.821</v>
      </c>
      <c r="E25" s="944">
        <v>0.171</v>
      </c>
      <c r="F25" s="944">
        <v>0.472</v>
      </c>
      <c r="G25" s="641">
        <v>0.5</v>
      </c>
    </row>
    <row r="26">
      <c r="A26" s="199" t="s">
        <v>1769</v>
      </c>
      <c r="B26" s="199">
        <v>10.0</v>
      </c>
      <c r="C26" s="944">
        <v>0.595</v>
      </c>
      <c r="D26" s="944">
        <v>0.617</v>
      </c>
      <c r="E26" s="944">
        <v>0.048</v>
      </c>
      <c r="F26" s="944">
        <v>0.661</v>
      </c>
      <c r="G26" s="641">
        <v>1.0</v>
      </c>
    </row>
    <row r="27">
      <c r="A27" s="199" t="s">
        <v>1769</v>
      </c>
      <c r="B27" s="199">
        <v>11.0</v>
      </c>
      <c r="C27" s="944">
        <v>0.853</v>
      </c>
      <c r="D27" s="944">
        <v>0.957</v>
      </c>
      <c r="E27" s="944">
        <v>0.149</v>
      </c>
      <c r="F27" s="944">
        <v>0.847</v>
      </c>
      <c r="G27" s="641">
        <v>1.0</v>
      </c>
    </row>
    <row r="28">
      <c r="A28" s="199" t="s">
        <v>1769</v>
      </c>
      <c r="B28" s="199">
        <v>12.0</v>
      </c>
      <c r="C28" s="944">
        <v>0.484</v>
      </c>
      <c r="D28" s="944">
        <v>0.506</v>
      </c>
      <c r="E28" s="944">
        <v>0.183</v>
      </c>
      <c r="F28" s="944">
        <v>0.733</v>
      </c>
    </row>
    <row r="29">
      <c r="A29" s="199" t="s">
        <v>1770</v>
      </c>
      <c r="B29" s="199">
        <v>10.0</v>
      </c>
      <c r="C29" s="944">
        <v>0.726</v>
      </c>
      <c r="D29" s="944">
        <v>0.652</v>
      </c>
      <c r="E29" s="944">
        <v>0.287</v>
      </c>
      <c r="F29" s="944">
        <v>0.788</v>
      </c>
      <c r="G29" s="641">
        <v>0.0</v>
      </c>
    </row>
    <row r="30">
      <c r="A30" s="199" t="s">
        <v>1770</v>
      </c>
      <c r="B30" s="199">
        <v>11.0</v>
      </c>
      <c r="C30" s="944">
        <v>0.806</v>
      </c>
      <c r="D30" s="944">
        <v>0.748</v>
      </c>
      <c r="E30" s="944">
        <v>0.174</v>
      </c>
      <c r="F30" s="944">
        <v>0.546</v>
      </c>
      <c r="G30" s="641">
        <v>0.5</v>
      </c>
    </row>
    <row r="31">
      <c r="A31" s="199" t="s">
        <v>1770</v>
      </c>
      <c r="B31" s="199">
        <v>12.0</v>
      </c>
      <c r="C31" s="944">
        <v>0.76</v>
      </c>
      <c r="D31" s="944">
        <v>0.276</v>
      </c>
      <c r="E31" s="944">
        <v>0.262</v>
      </c>
      <c r="F31" s="944">
        <v>0.571</v>
      </c>
    </row>
    <row r="32">
      <c r="A32" s="199" t="s">
        <v>524</v>
      </c>
      <c r="B32" s="199">
        <v>10.0</v>
      </c>
      <c r="C32" s="944">
        <v>0.759</v>
      </c>
      <c r="D32" s="944">
        <v>0.99</v>
      </c>
      <c r="E32" s="944">
        <v>0.226</v>
      </c>
      <c r="F32" s="944">
        <v>0.879</v>
      </c>
      <c r="G32" s="641">
        <v>0.5</v>
      </c>
    </row>
    <row r="33">
      <c r="A33" s="199" t="s">
        <v>524</v>
      </c>
      <c r="B33" s="199">
        <v>11.0</v>
      </c>
      <c r="C33" s="944">
        <v>0.198</v>
      </c>
      <c r="D33" s="944">
        <v>0.51</v>
      </c>
      <c r="E33" s="944">
        <v>0.193</v>
      </c>
      <c r="F33" s="944">
        <v>0.619</v>
      </c>
      <c r="G33" s="641">
        <v>1.0</v>
      </c>
    </row>
    <row r="34">
      <c r="A34" s="199" t="s">
        <v>524</v>
      </c>
      <c r="B34" s="199">
        <v>12.0</v>
      </c>
      <c r="C34" s="944">
        <v>0.287</v>
      </c>
      <c r="D34" s="944">
        <v>0.53</v>
      </c>
      <c r="E34" s="944">
        <v>0.195</v>
      </c>
      <c r="F34" s="944">
        <v>0.57</v>
      </c>
      <c r="G34" s="641">
        <v>1.0</v>
      </c>
    </row>
    <row r="35">
      <c r="A35" s="199" t="s">
        <v>1785</v>
      </c>
      <c r="B35" s="199">
        <v>10.0</v>
      </c>
      <c r="C35" s="944">
        <v>0.915</v>
      </c>
      <c r="D35" s="944">
        <v>1.0</v>
      </c>
      <c r="E35" s="944">
        <v>0.178</v>
      </c>
      <c r="F35" s="944">
        <v>0.823</v>
      </c>
      <c r="G35" s="641">
        <v>1.0</v>
      </c>
    </row>
    <row r="36">
      <c r="A36" s="199" t="s">
        <v>1785</v>
      </c>
      <c r="B36" s="199">
        <v>11.0</v>
      </c>
      <c r="C36" s="944">
        <v>0.823</v>
      </c>
      <c r="D36" s="944">
        <v>1.0</v>
      </c>
      <c r="E36" s="944">
        <v>0.151</v>
      </c>
      <c r="F36" s="944">
        <v>0.895</v>
      </c>
      <c r="G36" s="641">
        <v>0.5</v>
      </c>
    </row>
    <row r="37">
      <c r="A37" s="199" t="s">
        <v>1785</v>
      </c>
      <c r="B37" s="199">
        <v>12.0</v>
      </c>
      <c r="C37" s="944">
        <v>0.548</v>
      </c>
      <c r="D37" s="944">
        <v>1.0</v>
      </c>
      <c r="E37" s="944">
        <v>0.055</v>
      </c>
      <c r="F37" s="944">
        <v>0.712</v>
      </c>
      <c r="G37" s="641">
        <v>1.0</v>
      </c>
    </row>
    <row r="38">
      <c r="A38" s="199" t="s">
        <v>594</v>
      </c>
      <c r="B38" s="199">
        <v>10.0</v>
      </c>
      <c r="C38" s="944">
        <v>0.759</v>
      </c>
      <c r="D38" s="944">
        <v>0.992</v>
      </c>
      <c r="E38" s="944">
        <v>0.226</v>
      </c>
      <c r="F38" s="944">
        <v>0.879</v>
      </c>
      <c r="G38" s="641">
        <v>0.5</v>
      </c>
    </row>
    <row r="39">
      <c r="A39" s="199" t="s">
        <v>594</v>
      </c>
      <c r="B39" s="199">
        <v>11.0</v>
      </c>
      <c r="C39" s="944">
        <v>0.198</v>
      </c>
      <c r="D39" s="944">
        <v>0.513</v>
      </c>
      <c r="E39" s="944">
        <v>0.193</v>
      </c>
      <c r="F39" s="944">
        <v>0.619</v>
      </c>
      <c r="G39" s="641">
        <v>1.0</v>
      </c>
    </row>
    <row r="40">
      <c r="A40" s="199" t="s">
        <v>594</v>
      </c>
      <c r="B40" s="199">
        <v>12.0</v>
      </c>
      <c r="C40" s="944">
        <v>0.41</v>
      </c>
      <c r="D40" s="944">
        <v>0.393</v>
      </c>
      <c r="E40" s="944">
        <v>0.106</v>
      </c>
      <c r="F40" s="944">
        <v>0.745</v>
      </c>
      <c r="G40" s="641">
        <v>1.0</v>
      </c>
    </row>
    <row r="41">
      <c r="A41" s="199" t="s">
        <v>1772</v>
      </c>
      <c r="B41" s="199">
        <v>10.0</v>
      </c>
      <c r="C41" s="944">
        <v>0.453</v>
      </c>
      <c r="D41" s="944">
        <v>0.6</v>
      </c>
      <c r="E41" s="944">
        <v>0.054</v>
      </c>
      <c r="F41" s="944">
        <v>0.908</v>
      </c>
      <c r="G41" s="641">
        <v>0.5</v>
      </c>
    </row>
    <row r="42">
      <c r="A42" s="199" t="s">
        <v>1772</v>
      </c>
      <c r="B42" s="199">
        <v>11.0</v>
      </c>
      <c r="C42" s="944">
        <v>0.588</v>
      </c>
      <c r="D42" s="944">
        <v>0.571</v>
      </c>
      <c r="E42" s="944">
        <v>0.053</v>
      </c>
      <c r="F42" s="944">
        <v>0.964</v>
      </c>
      <c r="G42" s="641">
        <v>1.0</v>
      </c>
    </row>
    <row r="43">
      <c r="A43" s="199" t="s">
        <v>1772</v>
      </c>
      <c r="B43" s="199">
        <v>12.0</v>
      </c>
      <c r="C43" s="944">
        <v>0.604</v>
      </c>
      <c r="D43" s="944">
        <v>0.685</v>
      </c>
      <c r="E43" s="944">
        <v>0.037</v>
      </c>
      <c r="F43" s="944">
        <v>0.941</v>
      </c>
      <c r="G43" s="641">
        <v>1.0</v>
      </c>
    </row>
    <row r="44">
      <c r="A44" s="199" t="s">
        <v>1007</v>
      </c>
      <c r="B44" s="199">
        <v>10.0</v>
      </c>
      <c r="C44" s="944">
        <v>0.5</v>
      </c>
      <c r="D44" s="944">
        <v>0.724</v>
      </c>
      <c r="E44" s="944">
        <v>0.337</v>
      </c>
      <c r="F44" s="944">
        <v>1.089</v>
      </c>
      <c r="G44" s="641">
        <v>1.0</v>
      </c>
    </row>
    <row r="45">
      <c r="A45" s="199" t="s">
        <v>1007</v>
      </c>
      <c r="B45" s="199">
        <v>11.0</v>
      </c>
      <c r="C45" s="944">
        <v>0.926</v>
      </c>
      <c r="D45" s="944">
        <v>0.584</v>
      </c>
      <c r="E45" s="944">
        <v>0.411</v>
      </c>
      <c r="F45" s="944">
        <v>0.835</v>
      </c>
      <c r="G45" s="641">
        <v>1.0</v>
      </c>
    </row>
    <row r="46">
      <c r="A46" s="199" t="s">
        <v>1007</v>
      </c>
      <c r="B46" s="199">
        <v>12.0</v>
      </c>
      <c r="C46" s="944">
        <v>0.745</v>
      </c>
      <c r="D46" s="944">
        <v>0.521</v>
      </c>
      <c r="E46" s="944">
        <v>0.558</v>
      </c>
      <c r="F46" s="944">
        <v>0.866</v>
      </c>
      <c r="G46" s="641">
        <v>1.0</v>
      </c>
    </row>
    <row r="47">
      <c r="A47" s="199" t="s">
        <v>911</v>
      </c>
      <c r="B47" s="199">
        <v>10.0</v>
      </c>
      <c r="C47" s="944">
        <v>0.856</v>
      </c>
      <c r="D47" s="944">
        <v>0.779</v>
      </c>
      <c r="E47" s="944">
        <v>0.367</v>
      </c>
      <c r="F47" s="944">
        <v>0.957</v>
      </c>
      <c r="G47" s="641">
        <v>1.0</v>
      </c>
    </row>
    <row r="48">
      <c r="A48" s="199" t="s">
        <v>911</v>
      </c>
      <c r="B48" s="199">
        <v>11.0</v>
      </c>
      <c r="C48" s="944">
        <v>0.967</v>
      </c>
      <c r="D48" s="944">
        <v>0.776</v>
      </c>
      <c r="E48" s="944">
        <v>0.216</v>
      </c>
      <c r="F48" s="944">
        <v>1.024</v>
      </c>
      <c r="G48" s="641">
        <v>1.0</v>
      </c>
    </row>
    <row r="49">
      <c r="A49" s="199" t="s">
        <v>911</v>
      </c>
      <c r="B49" s="199">
        <v>12.0</v>
      </c>
      <c r="C49" s="944">
        <v>0.861</v>
      </c>
      <c r="D49" s="944">
        <v>0.6</v>
      </c>
      <c r="E49" s="944">
        <v>0.288</v>
      </c>
      <c r="F49" s="944">
        <v>0.813</v>
      </c>
      <c r="G49" s="641">
        <v>0.0</v>
      </c>
    </row>
    <row r="50">
      <c r="A50" s="199" t="s">
        <v>1560</v>
      </c>
      <c r="B50" s="199">
        <v>10.0</v>
      </c>
      <c r="C50" s="944">
        <v>0.0</v>
      </c>
      <c r="D50" s="944">
        <v>0.573</v>
      </c>
      <c r="E50" s="944">
        <v>0.301</v>
      </c>
      <c r="F50" s="944">
        <v>0.871</v>
      </c>
      <c r="G50" s="641">
        <v>0.5</v>
      </c>
    </row>
    <row r="51">
      <c r="A51" s="199" t="s">
        <v>1560</v>
      </c>
      <c r="B51" s="199">
        <v>11.0</v>
      </c>
      <c r="C51" s="944">
        <v>0.0</v>
      </c>
      <c r="D51" s="944">
        <v>0.426</v>
      </c>
      <c r="E51" s="944">
        <v>0.168</v>
      </c>
      <c r="F51" s="944">
        <v>0.764</v>
      </c>
      <c r="G51" s="641">
        <v>0.0</v>
      </c>
    </row>
    <row r="52">
      <c r="A52" s="199" t="s">
        <v>1560</v>
      </c>
      <c r="B52" s="199">
        <v>12.0</v>
      </c>
      <c r="C52" s="944">
        <v>0.0</v>
      </c>
      <c r="D52" s="944">
        <v>0.468</v>
      </c>
      <c r="E52" s="944">
        <v>0.402</v>
      </c>
      <c r="F52" s="944">
        <v>0.615</v>
      </c>
      <c r="G52" s="641">
        <v>0.5</v>
      </c>
    </row>
    <row r="53">
      <c r="A53" s="199" t="s">
        <v>771</v>
      </c>
      <c r="B53" s="199">
        <v>10.0</v>
      </c>
      <c r="C53" s="944">
        <v>0.477</v>
      </c>
      <c r="D53" s="944">
        <v>0.865</v>
      </c>
      <c r="E53" s="944">
        <v>0.059</v>
      </c>
      <c r="F53" s="944">
        <v>1.126</v>
      </c>
      <c r="G53" s="641">
        <v>1.0</v>
      </c>
    </row>
    <row r="54">
      <c r="A54" s="199" t="s">
        <v>771</v>
      </c>
      <c r="B54" s="199">
        <v>11.0</v>
      </c>
      <c r="C54" s="944">
        <v>0.639</v>
      </c>
      <c r="D54" s="944">
        <v>0.348</v>
      </c>
      <c r="E54" s="944">
        <v>0.056</v>
      </c>
      <c r="F54" s="944">
        <v>0.936</v>
      </c>
      <c r="G54" s="641">
        <v>1.0</v>
      </c>
    </row>
    <row r="55">
      <c r="A55" s="199" t="s">
        <v>771</v>
      </c>
      <c r="B55" s="199">
        <v>12.0</v>
      </c>
      <c r="C55" s="944">
        <v>0.549</v>
      </c>
      <c r="D55" s="944">
        <v>0.821</v>
      </c>
      <c r="E55" s="944">
        <v>0.017</v>
      </c>
      <c r="F55" s="944">
        <v>0.9</v>
      </c>
      <c r="G55" s="641">
        <v>1.0</v>
      </c>
    </row>
    <row r="56">
      <c r="A56" s="199" t="s">
        <v>1774</v>
      </c>
      <c r="B56" s="199">
        <v>10.0</v>
      </c>
      <c r="C56" s="944">
        <v>0.609</v>
      </c>
      <c r="D56" s="944">
        <v>0.566</v>
      </c>
      <c r="E56" s="944">
        <v>0.12</v>
      </c>
      <c r="F56" s="944">
        <v>0.749</v>
      </c>
      <c r="G56" s="641">
        <v>1.0</v>
      </c>
    </row>
    <row r="57">
      <c r="A57" s="199" t="s">
        <v>1774</v>
      </c>
      <c r="B57" s="199">
        <v>11.0</v>
      </c>
      <c r="C57" s="944">
        <v>0.52</v>
      </c>
      <c r="D57" s="944">
        <v>0.496</v>
      </c>
      <c r="E57" s="944">
        <v>0.018</v>
      </c>
      <c r="F57" s="944">
        <v>0.919</v>
      </c>
      <c r="G57" s="641">
        <v>0.5</v>
      </c>
    </row>
    <row r="58">
      <c r="A58" s="199" t="s">
        <v>1774</v>
      </c>
      <c r="B58" s="199">
        <v>12.0</v>
      </c>
      <c r="C58" s="944">
        <v>0.471</v>
      </c>
      <c r="D58" s="944">
        <v>0.591</v>
      </c>
      <c r="E58" s="944">
        <v>0.049</v>
      </c>
      <c r="F58" s="944">
        <v>0.894</v>
      </c>
      <c r="G58" s="641">
        <v>1.0</v>
      </c>
    </row>
    <row r="59">
      <c r="A59" s="199" t="s">
        <v>1775</v>
      </c>
      <c r="B59" s="199">
        <v>10.0</v>
      </c>
      <c r="C59" s="641">
        <v>0.46</v>
      </c>
      <c r="D59" s="641">
        <v>0.69</v>
      </c>
      <c r="E59" s="641">
        <v>0.22</v>
      </c>
      <c r="F59" s="641">
        <v>0.98</v>
      </c>
      <c r="G59" s="641">
        <v>0.75</v>
      </c>
    </row>
    <row r="60">
      <c r="A60" s="199" t="s">
        <v>1775</v>
      </c>
      <c r="B60" s="199">
        <v>11.0</v>
      </c>
      <c r="C60" s="641">
        <v>0.41</v>
      </c>
      <c r="D60" s="641">
        <v>0.55</v>
      </c>
      <c r="E60" s="641">
        <v>0.14</v>
      </c>
      <c r="F60" s="641">
        <v>0.98</v>
      </c>
      <c r="G60" s="641">
        <v>0.75</v>
      </c>
    </row>
    <row r="61">
      <c r="A61" s="199" t="s">
        <v>1775</v>
      </c>
      <c r="B61" s="199">
        <v>12.0</v>
      </c>
      <c r="C61" s="641">
        <v>0.53</v>
      </c>
      <c r="D61" s="641">
        <v>0.67</v>
      </c>
      <c r="E61" s="641">
        <v>0.08</v>
      </c>
      <c r="F61" s="641">
        <v>0.97</v>
      </c>
      <c r="G61" s="641">
        <v>0.75</v>
      </c>
    </row>
    <row r="62">
      <c r="A62" s="199" t="s">
        <v>1776</v>
      </c>
      <c r="B62" s="199">
        <v>10.0</v>
      </c>
      <c r="C62" s="944">
        <v>0.733</v>
      </c>
      <c r="D62" s="944">
        <v>0.708</v>
      </c>
      <c r="E62" s="944">
        <v>0.103</v>
      </c>
      <c r="F62" s="944">
        <v>0.872</v>
      </c>
      <c r="G62" s="641">
        <v>0.83</v>
      </c>
    </row>
    <row r="63">
      <c r="A63" s="199" t="s">
        <v>1776</v>
      </c>
      <c r="B63" s="199">
        <v>11.0</v>
      </c>
      <c r="C63" s="944">
        <v>0.879</v>
      </c>
      <c r="D63" s="944">
        <v>0.815</v>
      </c>
      <c r="E63" s="944">
        <v>0.22</v>
      </c>
      <c r="F63" s="944">
        <v>0.796</v>
      </c>
      <c r="G63" s="641">
        <v>0.5</v>
      </c>
    </row>
    <row r="64">
      <c r="A64" s="199" t="s">
        <v>1776</v>
      </c>
      <c r="B64" s="199">
        <v>12.0</v>
      </c>
      <c r="C64" s="944">
        <v>0.788</v>
      </c>
      <c r="D64" s="944">
        <v>0.818</v>
      </c>
      <c r="E64" s="944">
        <v>0.122</v>
      </c>
      <c r="F64" s="944">
        <v>0.674</v>
      </c>
      <c r="G64" s="641">
        <v>0.5</v>
      </c>
    </row>
    <row r="65">
      <c r="A65" s="199" t="s">
        <v>1777</v>
      </c>
      <c r="B65" s="199">
        <v>10.0</v>
      </c>
      <c r="C65" s="944">
        <v>0.66</v>
      </c>
      <c r="D65" s="944">
        <v>0.635</v>
      </c>
      <c r="E65" s="944">
        <v>0.168</v>
      </c>
      <c r="F65" s="944">
        <v>0.725</v>
      </c>
      <c r="G65" s="641">
        <v>0.5</v>
      </c>
    </row>
    <row r="66">
      <c r="A66" s="199" t="s">
        <v>1777</v>
      </c>
      <c r="B66" s="199">
        <v>11.0</v>
      </c>
      <c r="C66" s="944">
        <v>0.83</v>
      </c>
      <c r="D66" s="944">
        <v>0.852</v>
      </c>
      <c r="E66" s="944">
        <v>0.162</v>
      </c>
      <c r="F66" s="944">
        <v>0.697</v>
      </c>
      <c r="G66" s="641">
        <v>0.75</v>
      </c>
    </row>
    <row r="67">
      <c r="A67" s="199" t="s">
        <v>1777</v>
      </c>
      <c r="B67" s="199">
        <v>12.0</v>
      </c>
      <c r="C67" s="944">
        <v>0.622</v>
      </c>
      <c r="D67" s="944">
        <v>0.391</v>
      </c>
      <c r="E67" s="944">
        <v>0.222</v>
      </c>
      <c r="F67" s="944">
        <v>0.652</v>
      </c>
      <c r="G67" s="199" t="e">
        <v>#DIV/0!</v>
      </c>
    </row>
    <row r="68">
      <c r="A68" s="199" t="s">
        <v>1778</v>
      </c>
      <c r="B68" s="199">
        <v>10.0</v>
      </c>
      <c r="C68" s="944">
        <v>0.837</v>
      </c>
      <c r="D68" s="944">
        <v>0.995</v>
      </c>
      <c r="E68" s="944">
        <v>0.202</v>
      </c>
      <c r="F68" s="944">
        <v>0.851</v>
      </c>
      <c r="G68" s="641">
        <v>0.75</v>
      </c>
    </row>
    <row r="69">
      <c r="A69" s="199" t="s">
        <v>1778</v>
      </c>
      <c r="B69" s="199">
        <v>11.0</v>
      </c>
      <c r="C69" s="944">
        <v>0.511</v>
      </c>
      <c r="D69" s="944">
        <v>0.755</v>
      </c>
      <c r="E69" s="944">
        <v>0.172</v>
      </c>
      <c r="F69" s="944">
        <v>0.757</v>
      </c>
      <c r="G69" s="641">
        <v>0.75</v>
      </c>
    </row>
    <row r="70">
      <c r="A70" s="199" t="s">
        <v>1778</v>
      </c>
      <c r="B70" s="199">
        <v>12.0</v>
      </c>
      <c r="C70" s="944">
        <v>0.417</v>
      </c>
      <c r="D70" s="944">
        <v>0.765</v>
      </c>
      <c r="E70" s="944">
        <v>0.125</v>
      </c>
      <c r="F70" s="944">
        <v>0.641</v>
      </c>
      <c r="G70" s="641">
        <v>1.0</v>
      </c>
    </row>
    <row r="71">
      <c r="A71" s="199" t="s">
        <v>1677</v>
      </c>
      <c r="B71" s="199">
        <v>10.0</v>
      </c>
      <c r="C71" s="944">
        <v>0.453</v>
      </c>
      <c r="D71" s="944">
        <v>0.6</v>
      </c>
      <c r="E71" s="944">
        <v>0.054</v>
      </c>
      <c r="F71" s="944">
        <v>0.908</v>
      </c>
      <c r="G71" s="641">
        <v>0.5</v>
      </c>
    </row>
    <row r="72">
      <c r="A72" s="199" t="s">
        <v>1677</v>
      </c>
      <c r="B72" s="199">
        <v>11.0</v>
      </c>
      <c r="C72" s="944">
        <v>0.588</v>
      </c>
      <c r="D72" s="944">
        <v>0.571</v>
      </c>
      <c r="E72" s="944">
        <v>0.053</v>
      </c>
      <c r="F72" s="944">
        <v>0.964</v>
      </c>
      <c r="G72" s="641">
        <v>1.0</v>
      </c>
    </row>
    <row r="73">
      <c r="A73" s="199" t="s">
        <v>1677</v>
      </c>
      <c r="B73" s="199">
        <v>12.0</v>
      </c>
      <c r="C73" s="944">
        <v>0.604</v>
      </c>
      <c r="D73" s="944">
        <v>0.685</v>
      </c>
      <c r="E73" s="944">
        <v>0.037</v>
      </c>
      <c r="F73" s="944">
        <v>0.941</v>
      </c>
      <c r="G73" s="641">
        <v>1.0</v>
      </c>
    </row>
    <row r="74">
      <c r="A74" s="199" t="s">
        <v>1779</v>
      </c>
      <c r="B74" s="199">
        <v>10.0</v>
      </c>
      <c r="C74" s="944">
        <v>0.678</v>
      </c>
      <c r="D74" s="944">
        <v>0.752</v>
      </c>
      <c r="E74" s="944">
        <v>0.352</v>
      </c>
      <c r="F74" s="944">
        <v>1.023</v>
      </c>
      <c r="G74" s="641">
        <v>1.0</v>
      </c>
    </row>
    <row r="75">
      <c r="A75" s="199" t="s">
        <v>1779</v>
      </c>
      <c r="B75" s="199">
        <v>11.0</v>
      </c>
      <c r="C75" s="944">
        <v>0.947</v>
      </c>
      <c r="D75" s="944">
        <v>0.68</v>
      </c>
      <c r="E75" s="944">
        <v>0.314</v>
      </c>
      <c r="F75" s="944">
        <v>0.929</v>
      </c>
      <c r="G75" s="641">
        <v>1.0</v>
      </c>
    </row>
    <row r="76">
      <c r="A76" s="199" t="s">
        <v>1779</v>
      </c>
      <c r="B76" s="199">
        <v>12.0</v>
      </c>
      <c r="C76" s="944">
        <v>0.803</v>
      </c>
      <c r="D76" s="944">
        <v>0.561</v>
      </c>
      <c r="E76" s="944">
        <v>0.423</v>
      </c>
      <c r="F76" s="944">
        <v>0.839</v>
      </c>
      <c r="G76" s="641">
        <v>0.5</v>
      </c>
    </row>
    <row r="77">
      <c r="A77" s="199" t="s">
        <v>1780</v>
      </c>
      <c r="B77" s="199">
        <v>10.0</v>
      </c>
      <c r="C77" s="944">
        <v>0.543</v>
      </c>
      <c r="D77" s="944">
        <v>0.715</v>
      </c>
      <c r="E77" s="944">
        <v>0.089</v>
      </c>
      <c r="F77" s="944">
        <v>0.938</v>
      </c>
      <c r="G77" s="641">
        <v>1.0</v>
      </c>
    </row>
    <row r="78">
      <c r="A78" s="199" t="s">
        <v>1780</v>
      </c>
      <c r="B78" s="199">
        <v>11.0</v>
      </c>
      <c r="C78" s="944">
        <v>0.579</v>
      </c>
      <c r="D78" s="944">
        <v>0.422</v>
      </c>
      <c r="E78" s="944">
        <v>0.037</v>
      </c>
      <c r="F78" s="944">
        <v>0.927</v>
      </c>
      <c r="G78" s="641">
        <v>0.75</v>
      </c>
    </row>
    <row r="79">
      <c r="A79" s="199" t="s">
        <v>1780</v>
      </c>
      <c r="B79" s="199">
        <v>12.0</v>
      </c>
      <c r="C79" s="944">
        <v>0.51</v>
      </c>
      <c r="D79" s="944">
        <v>0.706</v>
      </c>
      <c r="E79" s="944">
        <v>0.033</v>
      </c>
      <c r="F79" s="944">
        <v>0.897</v>
      </c>
      <c r="G79" s="641">
        <v>1.0</v>
      </c>
    </row>
  </sheetData>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23">
      <c r="H23" s="641"/>
    </row>
    <row r="24">
      <c r="H24" s="641"/>
    </row>
    <row r="25">
      <c r="H25" s="641"/>
    </row>
  </sheetData>
  <drawing r:id="rId2"/>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17.88"/>
  </cols>
  <sheetData>
    <row r="1"/>
    <row r="2"/>
    <row r="3"/>
    <row r="4"/>
    <row r="5"/>
    <row r="6"/>
    <row r="7"/>
    <row r="8"/>
    <row r="9"/>
    <row r="10"/>
    <row r="11"/>
    <row r="12"/>
    <row r="13"/>
    <row r="14"/>
    <row r="15"/>
    <row r="16"/>
    <row r="17"/>
    <row r="18"/>
    <row r="19"/>
    <row r="20"/>
    <row r="21"/>
    <row r="22"/>
    <row r="23"/>
    <row r="24"/>
    <row r="25"/>
    <row r="26"/>
    <row r="27"/>
    <row r="28"/>
    <row r="29"/>
    <row r="30"/>
    <row r="31"/>
    <row r="32"/>
  </sheetData>
  <autoFilter ref="$A$1:$Z$32"/>
  <drawing r:id="rId2"/>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5" max="5" width="10.38"/>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drawing r:id="rId3"/>
  <legacyDrawing r:id="rId4"/>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771</v>
      </c>
      <c r="B2" s="1084">
        <v>6.0</v>
      </c>
      <c r="C2" s="1085"/>
      <c r="D2" s="1085"/>
      <c r="E2" s="1085"/>
      <c r="F2" s="1085"/>
      <c r="G2" s="1086"/>
    </row>
  </sheetData>
  <drawing r:id="rId1"/>
  <tableParts count="1">
    <tablePart r:id="rId3"/>
  </tableParts>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1780</v>
      </c>
      <c r="B2" s="1084">
        <v>2.0</v>
      </c>
      <c r="C2" s="1085"/>
      <c r="D2" s="1087">
        <v>0.76</v>
      </c>
      <c r="E2" s="1087">
        <v>0.16</v>
      </c>
      <c r="F2" s="1087">
        <v>0.9</v>
      </c>
      <c r="G2" s="1088">
        <v>0.61</v>
      </c>
    </row>
  </sheetData>
  <drawing r:id="rId1"/>
  <tableParts count="1">
    <tablePart r:id="rId3"/>
  </tableParts>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6.63"/>
  </cols>
  <sheetData>
    <row r="1"/>
    <row r="2"/>
    <row r="3"/>
    <row r="4"/>
    <row r="5"/>
    <row r="6"/>
    <row r="7"/>
    <row r="8"/>
    <row r="9"/>
    <row r="10"/>
    <row r="11"/>
    <row r="12"/>
    <row r="13"/>
    <row r="14"/>
    <row r="15"/>
    <row r="16"/>
    <row r="17"/>
    <row r="18">
      <c r="A18" s="459" t="s">
        <v>1789</v>
      </c>
    </row>
    <row r="19"/>
    <row r="20"/>
    <row r="21"/>
    <row r="22"/>
    <row r="23"/>
    <row r="24"/>
    <row r="25"/>
    <row r="26"/>
    <row r="27"/>
    <row r="28"/>
    <row r="29"/>
    <row r="30"/>
    <row r="31"/>
    <row r="32"/>
    <row r="33"/>
    <row r="34"/>
    <row r="35"/>
    <row r="36"/>
    <row r="37"/>
    <row r="38"/>
  </sheetData>
  <conditionalFormatting sqref="E3:E35">
    <cfRule type="cellIs" dxfId="7" priority="1" operator="lessThanOrEqual">
      <formula>0.5</formula>
    </cfRule>
  </conditionalFormatting>
  <drawing r:id="rId3"/>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6.0</v>
      </c>
      <c r="C2" s="1085"/>
      <c r="D2" s="1087">
        <v>0.8</v>
      </c>
      <c r="E2" s="1087">
        <v>0.28</v>
      </c>
      <c r="F2" s="1087">
        <v>0.85</v>
      </c>
      <c r="G2" s="1088">
        <v>1.0</v>
      </c>
    </row>
  </sheetData>
  <drawing r:id="rId1"/>
  <tableParts count="1">
    <tablePart r:id="rId3"/>
  </tableParts>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0.75</v>
      </c>
      <c r="E2" s="1087">
        <v>0.26</v>
      </c>
      <c r="F2" s="1087">
        <v>0.88</v>
      </c>
      <c r="G2" s="1088">
        <v>1.0</v>
      </c>
    </row>
  </sheetData>
  <drawing r:id="rId1"/>
  <tableParts count="1">
    <tablePart r:id="rId3"/>
  </tableParts>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0.66</v>
      </c>
      <c r="E2" s="1087">
        <v>0.26</v>
      </c>
      <c r="F2" s="1087">
        <v>0.88</v>
      </c>
      <c r="G2" s="1088">
        <v>1.0</v>
      </c>
    </row>
  </sheetData>
  <drawing r:id="rId1"/>
  <tableParts count="1">
    <tablePart r:id="rId3"/>
  </tableParts>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0.66</v>
      </c>
      <c r="E2" s="1087">
        <v>0.26</v>
      </c>
      <c r="F2" s="1087">
        <v>0.88</v>
      </c>
      <c r="G2" s="1088">
        <v>1.0</v>
      </c>
    </row>
  </sheetData>
  <drawing r:id="rId1"/>
  <tableParts count="1">
    <tablePart r:id="rId3"/>
  </tableParts>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4.0</v>
      </c>
      <c r="C2" s="1085"/>
      <c r="D2" s="1087">
        <v>0.84</v>
      </c>
      <c r="E2" s="1087">
        <v>0.2</v>
      </c>
      <c r="F2" s="1087">
        <v>0.91</v>
      </c>
      <c r="G2" s="1088">
        <v>1.0</v>
      </c>
    </row>
  </sheetData>
  <drawing r:id="rId1"/>
  <tableParts count="1">
    <tablePart r:id="rId3"/>
  </tableParts>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6.0</v>
      </c>
      <c r="C2" s="1085"/>
      <c r="D2" s="1085"/>
      <c r="E2" s="1085"/>
      <c r="F2" s="1085"/>
      <c r="G2" s="1086"/>
    </row>
  </sheetData>
  <drawing r:id="rId1"/>
  <tableParts count="1">
    <tablePart r:id="rId3"/>
  </tableParts>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0.66</v>
      </c>
      <c r="E2" s="1087">
        <v>0.26</v>
      </c>
      <c r="F2" s="1087">
        <v>0.88</v>
      </c>
      <c r="G2" s="1088">
        <v>1.0</v>
      </c>
    </row>
  </sheetData>
  <drawing r:id="rId1"/>
  <tableParts count="1">
    <tablePart r:id="rId3"/>
  </tableParts>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0.66</v>
      </c>
      <c r="E2" s="1087">
        <v>0.26</v>
      </c>
      <c r="F2" s="1087">
        <v>0.88</v>
      </c>
      <c r="G2" s="1088">
        <v>1.0</v>
      </c>
    </row>
  </sheetData>
  <drawing r:id="rId1"/>
  <tableParts count="1">
    <tablePart r:id="rId3"/>
  </tableParts>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0.66</v>
      </c>
      <c r="E2" s="1087">
        <v>0.26</v>
      </c>
      <c r="F2" s="1087">
        <v>0.88</v>
      </c>
      <c r="G2" s="1088">
        <v>1.0</v>
      </c>
    </row>
  </sheetData>
  <drawing r:id="rId1"/>
  <tableParts count="1">
    <tablePart r:id="rId3"/>
  </tableParts>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6.0</v>
      </c>
      <c r="C2" s="1085"/>
      <c r="D2" s="1085"/>
      <c r="E2" s="1085"/>
      <c r="F2" s="1085"/>
      <c r="G2" s="1086"/>
    </row>
  </sheetData>
  <drawing r:id="rId1"/>
  <tableParts count="1">
    <tablePart r:id="rId3"/>
  </tableParts>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0.66</v>
      </c>
      <c r="E2" s="1087">
        <v>0.26</v>
      </c>
      <c r="F2" s="1087">
        <v>0.88</v>
      </c>
      <c r="G2" s="1088">
        <v>1.0</v>
      </c>
    </row>
  </sheetData>
  <drawing r:id="rId1"/>
  <tableParts count="1">
    <tablePart r:id="rId3"/>
  </tableParts>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1774</v>
      </c>
      <c r="B2" s="1084">
        <v>5.0</v>
      </c>
      <c r="C2" s="1085"/>
      <c r="D2" s="1087">
        <v>0.85</v>
      </c>
      <c r="E2" s="1087">
        <v>0.26</v>
      </c>
      <c r="F2" s="1087">
        <v>0.88</v>
      </c>
      <c r="G2" s="1088">
        <v>1.0</v>
      </c>
    </row>
  </sheetData>
  <drawing r:id="rId1"/>
  <tableParts count="1">
    <tablePart r:id="rId3"/>
  </tableParts>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1482</v>
      </c>
      <c r="B2" s="1084">
        <v>3.0</v>
      </c>
      <c r="C2" s="1085"/>
      <c r="D2" s="1087">
        <v>0.5</v>
      </c>
      <c r="E2" s="1087">
        <v>0.13</v>
      </c>
      <c r="F2" s="1087">
        <v>1.01</v>
      </c>
      <c r="G2" s="1088">
        <v>1.0</v>
      </c>
    </row>
  </sheetData>
  <drawing r:id="rId1"/>
  <tableParts count="1">
    <tablePart r:id="rId3"/>
  </tableParts>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75</v>
      </c>
      <c r="B2" s="1084">
        <v>2.0</v>
      </c>
      <c r="C2" s="1085"/>
      <c r="D2" s="1087">
        <v>0.63</v>
      </c>
      <c r="E2" s="1087">
        <v>0.13</v>
      </c>
      <c r="F2" s="1087">
        <v>0.71</v>
      </c>
      <c r="G2" s="1088">
        <v>0.775</v>
      </c>
    </row>
  </sheetData>
  <drawing r:id="rId1"/>
  <tableParts count="1">
    <tablePart r:id="rId3"/>
  </tableParts>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1677</v>
      </c>
      <c r="B2" s="1084">
        <v>2.0</v>
      </c>
      <c r="C2" s="1085"/>
      <c r="D2" s="1085"/>
      <c r="E2" s="1085"/>
      <c r="F2" s="1085"/>
      <c r="G2" s="1086"/>
    </row>
  </sheetData>
  <drawing r:id="rId1"/>
  <tableParts count="1">
    <tablePart r:id="rId3"/>
  </tableParts>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79" t="s">
        <v>1758</v>
      </c>
      <c r="B1" s="1080" t="s">
        <v>6</v>
      </c>
      <c r="C1" s="1081" t="s">
        <v>1759</v>
      </c>
      <c r="D1" s="1081" t="s">
        <v>39</v>
      </c>
      <c r="E1" s="1081" t="s">
        <v>38</v>
      </c>
      <c r="F1" s="1081" t="s">
        <v>1760</v>
      </c>
      <c r="G1" s="1082" t="s">
        <v>1761</v>
      </c>
    </row>
    <row r="2">
      <c r="A2" s="1083" t="s">
        <v>1776</v>
      </c>
      <c r="B2" s="1084">
        <v>1.0</v>
      </c>
      <c r="C2" s="1085"/>
      <c r="D2" s="1085"/>
      <c r="E2" s="1085"/>
      <c r="F2" s="1085"/>
      <c r="G2" s="1086"/>
    </row>
  </sheetData>
  <drawing r:id="rId1"/>
  <tableParts count="1">
    <tablePart r:id="rId3"/>
  </tableParts>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0"/>
  </cols>
  <sheetData>
    <row r="1"/>
    <row r="2" hidden="1"/>
    <row r="3" hidden="1"/>
    <row r="4"/>
    <row r="5" hidden="1"/>
    <row r="6" hidden="1"/>
    <row r="7" hidden="1"/>
    <row r="8"/>
    <row r="9" hidden="1"/>
    <row r="10"/>
    <row r="11"/>
    <row r="13">
      <c r="A13" s="453" t="s">
        <v>46</v>
      </c>
      <c r="B13" s="453" t="s">
        <v>1790</v>
      </c>
      <c r="C13" s="453" t="s">
        <v>1791</v>
      </c>
      <c r="D13" s="453" t="s">
        <v>1791</v>
      </c>
      <c r="E13" s="453" t="s">
        <v>1791</v>
      </c>
      <c r="F13" s="453" t="s">
        <v>1791</v>
      </c>
      <c r="G13" s="453" t="s">
        <v>1791</v>
      </c>
    </row>
    <row r="14" hidden="1">
      <c r="A14" s="453" t="s">
        <v>990</v>
      </c>
      <c r="B14" s="453">
        <v>0.0</v>
      </c>
      <c r="C14" s="453">
        <v>0.0</v>
      </c>
      <c r="D14" s="453">
        <v>0.0</v>
      </c>
      <c r="E14" s="453">
        <v>0.0</v>
      </c>
      <c r="F14" s="453">
        <v>0.0</v>
      </c>
      <c r="G14" s="453">
        <v>0.0</v>
      </c>
    </row>
    <row r="15" hidden="1">
      <c r="A15" s="453" t="s">
        <v>991</v>
      </c>
      <c r="B15" s="453">
        <v>0.0</v>
      </c>
      <c r="C15" s="453">
        <v>0.0</v>
      </c>
      <c r="D15" s="453">
        <v>0.0</v>
      </c>
      <c r="E15" s="453">
        <v>0.0</v>
      </c>
      <c r="F15" s="453">
        <v>0.0</v>
      </c>
      <c r="G15" s="453">
        <v>0.0</v>
      </c>
    </row>
    <row r="16">
      <c r="A16" s="453" t="s">
        <v>992</v>
      </c>
      <c r="B16" s="453">
        <v>55.0</v>
      </c>
      <c r="C16" s="453">
        <v>48.0</v>
      </c>
      <c r="D16" s="453">
        <v>43.0</v>
      </c>
      <c r="E16" s="453">
        <v>47.0</v>
      </c>
      <c r="F16" s="453">
        <v>47.0</v>
      </c>
      <c r="G16" s="453">
        <v>51.0</v>
      </c>
    </row>
    <row r="17" hidden="1">
      <c r="A17" s="453" t="s">
        <v>993</v>
      </c>
      <c r="B17" s="453">
        <v>0.0</v>
      </c>
      <c r="C17" s="453">
        <v>0.0</v>
      </c>
      <c r="D17" s="453">
        <v>0.0</v>
      </c>
      <c r="E17" s="453">
        <v>0.0</v>
      </c>
      <c r="F17" s="453">
        <v>0.0</v>
      </c>
      <c r="G17" s="453">
        <v>0.0</v>
      </c>
    </row>
    <row r="18" hidden="1">
      <c r="A18" s="453" t="s">
        <v>996</v>
      </c>
      <c r="B18" s="453">
        <v>0.0</v>
      </c>
      <c r="C18" s="453">
        <v>0.0</v>
      </c>
      <c r="D18" s="453">
        <v>0.0</v>
      </c>
      <c r="E18" s="453">
        <v>0.0</v>
      </c>
      <c r="F18" s="453">
        <v>0.0</v>
      </c>
      <c r="G18" s="453">
        <v>0.0</v>
      </c>
    </row>
    <row r="19" hidden="1">
      <c r="A19" s="453" t="s">
        <v>1000</v>
      </c>
      <c r="B19" s="453">
        <v>33.0</v>
      </c>
      <c r="C19" s="453">
        <v>31.0</v>
      </c>
      <c r="D19" s="453">
        <v>36.0</v>
      </c>
      <c r="E19" s="453">
        <v>14.0</v>
      </c>
      <c r="F19" s="453">
        <v>0.0</v>
      </c>
      <c r="G19" s="453">
        <v>0.0</v>
      </c>
    </row>
    <row r="20">
      <c r="A20" s="453" t="s">
        <v>999</v>
      </c>
      <c r="B20" s="453">
        <v>47.0</v>
      </c>
      <c r="C20" s="453">
        <v>61.0</v>
      </c>
      <c r="D20" s="453">
        <v>44.0</v>
      </c>
      <c r="E20" s="453">
        <v>52.0</v>
      </c>
      <c r="F20" s="453">
        <v>39.0</v>
      </c>
      <c r="G20" s="453">
        <v>18.0</v>
      </c>
    </row>
    <row r="21" hidden="1">
      <c r="A21" s="453" t="s">
        <v>994</v>
      </c>
      <c r="B21" s="453">
        <v>3.0</v>
      </c>
      <c r="C21" s="453">
        <v>0.0</v>
      </c>
      <c r="D21" s="453">
        <v>0.0</v>
      </c>
      <c r="E21" s="453">
        <v>0.0</v>
      </c>
      <c r="F21" s="453">
        <v>0.0</v>
      </c>
      <c r="G21" s="453">
        <v>0.0</v>
      </c>
    </row>
    <row r="22">
      <c r="A22" s="453" t="s">
        <v>998</v>
      </c>
      <c r="B22" s="453">
        <v>23.0</v>
      </c>
      <c r="C22" s="453">
        <v>35.0</v>
      </c>
      <c r="D22" s="453">
        <v>24.0</v>
      </c>
      <c r="E22" s="453">
        <v>39.0</v>
      </c>
      <c r="F22" s="453">
        <v>27.0</v>
      </c>
      <c r="G22" s="453">
        <v>0.0</v>
      </c>
    </row>
    <row r="23">
      <c r="A23" s="453" t="s">
        <v>1784</v>
      </c>
      <c r="B23" s="453">
        <v>161.0</v>
      </c>
      <c r="C23" s="453">
        <v>175.0</v>
      </c>
      <c r="D23" s="453">
        <v>147.0</v>
      </c>
      <c r="E23" s="453">
        <v>152.0</v>
      </c>
      <c r="F23" s="453">
        <v>113.0</v>
      </c>
      <c r="G23" s="453">
        <v>69.0</v>
      </c>
    </row>
    <row r="24">
      <c r="A24" s="1089"/>
      <c r="B24" s="1090" t="s">
        <v>912</v>
      </c>
      <c r="C24" s="1090" t="s">
        <v>14</v>
      </c>
      <c r="D24" s="1090" t="s">
        <v>15</v>
      </c>
    </row>
    <row r="25">
      <c r="A25" s="1091" t="s">
        <v>992</v>
      </c>
      <c r="B25" s="1092">
        <f>IFERROR(((B16/B4) + (C16/C4)) / 2, 0)</f>
        <v>0.9285714286</v>
      </c>
      <c r="C25" s="1092">
        <f>IFERROR(((D16/D4) + (E16/E4)) / 2, 0)</f>
        <v>0.9819047619</v>
      </c>
      <c r="D25" s="1092">
        <f>IFERROR(((F16/F4) + (G16/G4)) / 2, 0)</f>
        <v>0.9795918367</v>
      </c>
    </row>
    <row r="26">
      <c r="A26" s="1091" t="s">
        <v>999</v>
      </c>
      <c r="B26" s="1092">
        <f>IFERROR(((B20/B8) + (C20/C8)) / 2, 0)</f>
        <v>1.086538462</v>
      </c>
      <c r="C26" s="1092">
        <f>IFERROR(((D20/D8) + (E20/E8)) / 2, 0)</f>
        <v>1.073906486</v>
      </c>
      <c r="D26" s="1092">
        <f>IFERROR(((F20/F8) + (G20/G8)) / 2, 0)</f>
        <v>1.053488372</v>
      </c>
    </row>
    <row r="27">
      <c r="A27" s="1091" t="s">
        <v>998</v>
      </c>
      <c r="B27" s="1092">
        <f>IFERROR(((B22/B10) + (C22/C10)) / 2, 0)</f>
        <v>1.064516129</v>
      </c>
      <c r="C27" s="1092">
        <f>IFERROR(((D22/D10) + (E22/E10)) / 2, 0)</f>
        <v>0.875</v>
      </c>
      <c r="D27" s="1092">
        <f>IFERROR(((F22/F10) + (G22/G10)) / 2, 0)</f>
        <v>0</v>
      </c>
    </row>
  </sheetData>
  <drawing r:id="rId2"/>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0"/>
  </cols>
  <sheetData>
    <row r="1"/>
    <row r="2" hidden="1"/>
    <row r="3"/>
    <row r="4"/>
    <row r="5"/>
    <row r="6" hidden="1"/>
    <row r="7"/>
    <row r="8"/>
    <row r="9"/>
    <row r="11">
      <c r="A11" s="453" t="s">
        <v>46</v>
      </c>
      <c r="B11" s="453" t="s">
        <v>1791</v>
      </c>
      <c r="C11" s="453" t="s">
        <v>1791</v>
      </c>
      <c r="D11" s="453" t="s">
        <v>1791</v>
      </c>
      <c r="E11" s="453" t="s">
        <v>1791</v>
      </c>
      <c r="F11" s="453" t="s">
        <v>1791</v>
      </c>
      <c r="G11" s="453" t="s">
        <v>1791</v>
      </c>
      <c r="H11" s="453" t="s">
        <v>1791</v>
      </c>
    </row>
    <row r="12" hidden="1">
      <c r="A12" s="453" t="s">
        <v>1083</v>
      </c>
      <c r="B12" s="453">
        <v>0.0</v>
      </c>
      <c r="C12" s="453">
        <v>0.0</v>
      </c>
      <c r="D12" s="453">
        <v>0.0</v>
      </c>
      <c r="E12" s="453">
        <v>0.0</v>
      </c>
      <c r="F12" s="453">
        <v>0.0</v>
      </c>
      <c r="G12" s="453">
        <v>0.0</v>
      </c>
      <c r="H12" s="453">
        <v>0.0</v>
      </c>
    </row>
    <row r="13">
      <c r="A13" s="453" t="s">
        <v>991</v>
      </c>
      <c r="B13" s="453">
        <v>47.0</v>
      </c>
      <c r="C13" s="453">
        <v>31.0</v>
      </c>
      <c r="D13" s="453">
        <v>32.0</v>
      </c>
      <c r="E13" s="453">
        <v>27.0</v>
      </c>
      <c r="F13" s="453">
        <v>39.0</v>
      </c>
      <c r="G13" s="453">
        <v>40.0</v>
      </c>
      <c r="H13" s="453">
        <v>45.0</v>
      </c>
    </row>
    <row r="14">
      <c r="A14" s="453" t="s">
        <v>1087</v>
      </c>
      <c r="B14" s="453">
        <v>0.0</v>
      </c>
      <c r="C14" s="453">
        <v>6.0</v>
      </c>
      <c r="D14" s="453">
        <v>12.0</v>
      </c>
      <c r="E14" s="453">
        <v>15.0</v>
      </c>
      <c r="F14" s="453">
        <v>17.0</v>
      </c>
      <c r="G14" s="453">
        <v>20.0</v>
      </c>
      <c r="H14" s="453">
        <v>20.0</v>
      </c>
    </row>
    <row r="15">
      <c r="A15" s="453" t="s">
        <v>1086</v>
      </c>
      <c r="B15" s="453">
        <v>42.0</v>
      </c>
      <c r="C15" s="453">
        <v>42.0</v>
      </c>
      <c r="D15" s="453">
        <v>28.0</v>
      </c>
      <c r="E15" s="453">
        <v>23.0</v>
      </c>
      <c r="F15" s="453">
        <v>34.0</v>
      </c>
      <c r="G15" s="453">
        <v>30.0</v>
      </c>
      <c r="H15" s="453">
        <v>15.0</v>
      </c>
    </row>
    <row r="16" hidden="1">
      <c r="A16" s="453" t="s">
        <v>994</v>
      </c>
      <c r="B16" s="453">
        <v>0.0</v>
      </c>
      <c r="C16" s="453">
        <v>0.0</v>
      </c>
      <c r="D16" s="453">
        <v>1.0</v>
      </c>
      <c r="E16" s="453">
        <v>0.0</v>
      </c>
      <c r="F16" s="453">
        <v>0.0</v>
      </c>
      <c r="G16" s="453">
        <v>0.0</v>
      </c>
      <c r="H16" s="453">
        <v>0.0</v>
      </c>
    </row>
    <row r="17">
      <c r="A17" s="453" t="s">
        <v>1085</v>
      </c>
      <c r="B17" s="453">
        <v>50.0</v>
      </c>
      <c r="C17" s="453">
        <v>53.0</v>
      </c>
      <c r="D17" s="453">
        <v>5.0</v>
      </c>
      <c r="E17" s="453">
        <v>37.0</v>
      </c>
      <c r="F17" s="453">
        <v>33.0</v>
      </c>
      <c r="G17" s="453">
        <v>46.0</v>
      </c>
      <c r="H17" s="453">
        <v>50.0</v>
      </c>
    </row>
    <row r="18">
      <c r="A18" s="453" t="s">
        <v>1084</v>
      </c>
      <c r="B18" s="453">
        <v>27.0</v>
      </c>
      <c r="C18" s="453">
        <v>56.0</v>
      </c>
      <c r="D18" s="453">
        <v>20.0</v>
      </c>
      <c r="E18" s="453">
        <v>4.0</v>
      </c>
      <c r="F18" s="453">
        <v>50.0</v>
      </c>
      <c r="G18" s="453">
        <v>41.0</v>
      </c>
      <c r="H18" s="453">
        <v>55.0</v>
      </c>
    </row>
    <row r="19">
      <c r="A19" s="453" t="s">
        <v>1784</v>
      </c>
      <c r="B19" s="453">
        <v>166.0</v>
      </c>
      <c r="C19" s="453">
        <v>188.0</v>
      </c>
      <c r="D19" s="453">
        <v>98.0</v>
      </c>
      <c r="E19" s="453">
        <v>106.0</v>
      </c>
      <c r="F19" s="453">
        <v>173.0</v>
      </c>
      <c r="G19" s="453">
        <v>177.0</v>
      </c>
      <c r="H19" s="453">
        <v>185.0</v>
      </c>
    </row>
    <row r="21">
      <c r="A21" s="1089"/>
      <c r="B21" s="1090" t="s">
        <v>912</v>
      </c>
      <c r="C21" s="1090" t="s">
        <v>14</v>
      </c>
      <c r="D21" s="1090" t="s">
        <v>15</v>
      </c>
    </row>
    <row r="22">
      <c r="A22" s="1093" t="s">
        <v>1086</v>
      </c>
      <c r="B22" s="1092">
        <f>IFERROR(((B15/B5) + (C15/C5)) / 2, 0)</f>
        <v>1.05065666</v>
      </c>
      <c r="C22" s="1092">
        <f t="shared" ref="C22:C23" si="1">IFERROR(((D14/D4) + (E14/E4)) / 2, 0)</f>
        <v>1</v>
      </c>
      <c r="D22" s="1092">
        <f t="shared" ref="D22:D23" si="2">IFERROR(((F14/F4) + (G14/G4)) / 2, 0)</f>
        <v>1.088235294</v>
      </c>
    </row>
    <row r="23">
      <c r="A23" s="1091" t="s">
        <v>991</v>
      </c>
      <c r="B23" s="1092">
        <f>IFERROR(((B13/B3) + (C13/C3)) / 2, 0)</f>
        <v>0.9216200466</v>
      </c>
      <c r="C23" s="1092">
        <f t="shared" si="1"/>
        <v>0.6916842847</v>
      </c>
      <c r="D23" s="1092">
        <f t="shared" si="2"/>
        <v>0.7619047619</v>
      </c>
    </row>
    <row r="24">
      <c r="A24" s="1093" t="s">
        <v>1792</v>
      </c>
      <c r="B24" s="1092">
        <f t="shared" ref="B24:B25" si="3">IFERROR(((B17/B7) + (C17/C7)) / 2, 0)</f>
        <v>1.03</v>
      </c>
      <c r="C24" s="1092">
        <f t="shared" ref="C24:C25" si="4">IFERROR(((D17/D7) + (E17/E7)) / 2, 0)</f>
        <v>0.4740566038</v>
      </c>
      <c r="D24" s="1092">
        <f t="shared" ref="D24:D25" si="5">IFERROR(((F17/F7) + (G17/G7)) / 2, 0)</f>
        <v>0.8010033445</v>
      </c>
    </row>
    <row r="25">
      <c r="A25" s="1093" t="s">
        <v>1084</v>
      </c>
      <c r="B25" s="1092">
        <f t="shared" si="3"/>
        <v>0.7732354997</v>
      </c>
      <c r="C25" s="1092">
        <f t="shared" si="4"/>
        <v>0.5357142857</v>
      </c>
      <c r="D25" s="1092">
        <f t="shared" si="5"/>
        <v>0.9001976285</v>
      </c>
    </row>
    <row r="26">
      <c r="A26" s="1094" t="s">
        <v>1087</v>
      </c>
      <c r="B26" s="1092">
        <f>IFERROR(( + (C14/C4)) / 2, 0)</f>
        <v>1</v>
      </c>
      <c r="C26" s="1092">
        <f>IFERROR(((D14/D4) + (E14/E4)) / 2, 0)</f>
        <v>1</v>
      </c>
      <c r="D26" s="1092">
        <f>IFERROR(((F14/F4) + (G14/G4)) / 2, 0)</f>
        <v>1.088235294</v>
      </c>
    </row>
  </sheetData>
  <drawing r:id="rId2"/>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0"/>
  </cols>
  <sheetData>
    <row r="1"/>
    <row r="2"/>
    <row r="3"/>
    <row r="4" hidden="1"/>
    <row r="5" hidden="1"/>
    <row r="6" hidden="1"/>
    <row r="7"/>
    <row r="8"/>
    <row r="9">
      <c r="A9" s="453" t="s">
        <v>46</v>
      </c>
      <c r="B9" s="453" t="s">
        <v>1791</v>
      </c>
      <c r="C9" s="453" t="s">
        <v>1791</v>
      </c>
      <c r="D9" s="453" t="s">
        <v>1791</v>
      </c>
      <c r="E9" s="453" t="s">
        <v>1791</v>
      </c>
      <c r="F9" s="453" t="s">
        <v>1791</v>
      </c>
      <c r="G9" s="453" t="s">
        <v>1791</v>
      </c>
      <c r="H9" s="453" t="s">
        <v>1791</v>
      </c>
    </row>
    <row r="10">
      <c r="A10" s="453" t="s">
        <v>1083</v>
      </c>
      <c r="B10" s="453">
        <v>32.0</v>
      </c>
      <c r="C10" s="453">
        <v>39.0</v>
      </c>
      <c r="D10" s="453">
        <v>8.0</v>
      </c>
      <c r="E10" s="453">
        <v>34.0</v>
      </c>
      <c r="F10" s="453">
        <v>0.0</v>
      </c>
      <c r="G10" s="453">
        <v>34.0</v>
      </c>
      <c r="H10" s="453">
        <v>45.0</v>
      </c>
    </row>
    <row r="11">
      <c r="A11" s="453" t="s">
        <v>1117</v>
      </c>
      <c r="B11" s="453">
        <v>19.0</v>
      </c>
      <c r="C11" s="453">
        <v>21.0</v>
      </c>
      <c r="D11" s="453">
        <v>28.0</v>
      </c>
      <c r="E11" s="453">
        <v>23.0</v>
      </c>
      <c r="F11" s="453">
        <v>31.0</v>
      </c>
      <c r="G11" s="453">
        <v>37.0</v>
      </c>
      <c r="H11" s="453">
        <v>21.0</v>
      </c>
    </row>
    <row r="12" hidden="1">
      <c r="A12" s="453" t="s">
        <v>1119</v>
      </c>
      <c r="B12" s="453">
        <v>47.0</v>
      </c>
      <c r="C12" s="453">
        <v>13.0</v>
      </c>
      <c r="D12" s="453">
        <v>26.0</v>
      </c>
      <c r="E12" s="453">
        <v>31.0</v>
      </c>
      <c r="F12" s="453">
        <v>29.0</v>
      </c>
      <c r="G12" s="453">
        <v>58.0</v>
      </c>
      <c r="H12" s="453">
        <v>39.0</v>
      </c>
    </row>
    <row r="13" hidden="1">
      <c r="A13" s="453" t="s">
        <v>1118</v>
      </c>
      <c r="B13" s="453">
        <v>5.0</v>
      </c>
      <c r="C13" s="453">
        <v>5.0</v>
      </c>
      <c r="D13" s="453">
        <v>4.0</v>
      </c>
      <c r="E13" s="453">
        <v>3.0</v>
      </c>
      <c r="F13" s="453">
        <v>5.0</v>
      </c>
      <c r="G13" s="453">
        <v>11.0</v>
      </c>
      <c r="H13" s="453">
        <v>10.0</v>
      </c>
    </row>
    <row r="14" hidden="1">
      <c r="A14" s="453" t="s">
        <v>1090</v>
      </c>
      <c r="B14" s="453">
        <v>13.0</v>
      </c>
      <c r="C14" s="453">
        <v>3.0</v>
      </c>
      <c r="D14" s="453">
        <v>0.0</v>
      </c>
      <c r="E14" s="453">
        <v>0.0</v>
      </c>
      <c r="F14" s="453">
        <v>13.0</v>
      </c>
      <c r="G14" s="453">
        <v>14.0</v>
      </c>
      <c r="H14" s="453">
        <v>11.0</v>
      </c>
    </row>
    <row r="15">
      <c r="A15" s="453" t="s">
        <v>1116</v>
      </c>
      <c r="B15" s="453">
        <v>52.0</v>
      </c>
      <c r="C15" s="453">
        <v>48.0</v>
      </c>
      <c r="D15" s="453">
        <v>18.0</v>
      </c>
      <c r="E15" s="453">
        <v>49.0</v>
      </c>
      <c r="F15" s="453">
        <v>8.0</v>
      </c>
      <c r="G15" s="453">
        <v>48.0</v>
      </c>
      <c r="H15" s="453">
        <v>50.0</v>
      </c>
    </row>
    <row r="16">
      <c r="A16" s="453" t="s">
        <v>1784</v>
      </c>
      <c r="B16" s="453">
        <v>168.0</v>
      </c>
      <c r="C16" s="453">
        <v>129.0</v>
      </c>
      <c r="D16" s="453">
        <v>84.0</v>
      </c>
      <c r="E16" s="453">
        <v>140.0</v>
      </c>
      <c r="F16" s="453">
        <v>86.0</v>
      </c>
      <c r="G16" s="453">
        <v>202.0</v>
      </c>
      <c r="H16" s="453">
        <v>176.0</v>
      </c>
    </row>
    <row r="17">
      <c r="C17" s="199" t="s">
        <v>1793</v>
      </c>
    </row>
    <row r="18">
      <c r="C18" s="199" t="s">
        <v>1794</v>
      </c>
    </row>
    <row r="19">
      <c r="A19" s="1089"/>
      <c r="B19" s="1090" t="s">
        <v>912</v>
      </c>
      <c r="C19" s="1090" t="s">
        <v>14</v>
      </c>
      <c r="D19" s="1090" t="s">
        <v>15</v>
      </c>
    </row>
    <row r="20">
      <c r="A20" s="1091" t="s">
        <v>1083</v>
      </c>
      <c r="B20" s="1092">
        <f t="shared" ref="B20:B21" si="1">IFERROR(((B10/B2) + (C10/C2)) / 2, 0)</f>
        <v>0.8555555556</v>
      </c>
      <c r="C20" s="1092">
        <f t="shared" ref="C20:C21" si="2">IFERROR(((D10/D2) + (E10/E2)) / 2, 0)</f>
        <v>0.9358974359</v>
      </c>
      <c r="D20" s="1092">
        <f t="shared" ref="D20:D21" si="3">IFERROR(((F10/F2) + (G10/G2)) / 2, 0)</f>
        <v>0.3777777778</v>
      </c>
    </row>
    <row r="21">
      <c r="A21" s="1091" t="s">
        <v>990</v>
      </c>
      <c r="B21" s="1092">
        <f t="shared" si="1"/>
        <v>1</v>
      </c>
      <c r="C21" s="1092">
        <f t="shared" si="2"/>
        <v>0.9350132626</v>
      </c>
      <c r="D21" s="1092">
        <f t="shared" si="3"/>
        <v>1.416083916</v>
      </c>
    </row>
    <row r="22">
      <c r="A22" s="1091" t="s">
        <v>1116</v>
      </c>
      <c r="B22" s="1092">
        <f>IFERROR(((B15/B7) + (C15/C7)) / 2, 0)</f>
        <v>1</v>
      </c>
      <c r="C22" s="1092">
        <f>IFERROR(((D15/D7) + (E15/E7)) / 2, 0)</f>
        <v>0.7258220503</v>
      </c>
      <c r="D22" s="1092">
        <f>IFERROR(((F15/F7) + (G15/G7)) / 2, 0)</f>
        <v>0.6081081081</v>
      </c>
    </row>
  </sheetData>
  <drawing r:id="rId2"/>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95" t="s">
        <v>45</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7"/>
    </row>
    <row r="2">
      <c r="A2" s="1083" t="s">
        <v>1083</v>
      </c>
      <c r="B2" s="1084">
        <v>34.0</v>
      </c>
      <c r="C2" s="1084">
        <v>46.0</v>
      </c>
      <c r="D2" s="1084">
        <v>47.0</v>
      </c>
      <c r="E2" s="1084">
        <v>39.0</v>
      </c>
      <c r="F2" s="1084">
        <v>18.0</v>
      </c>
      <c r="G2" s="1084">
        <v>44.0</v>
      </c>
      <c r="H2" s="1084">
        <v>42.0</v>
      </c>
      <c r="I2" s="1084">
        <v>31.0</v>
      </c>
      <c r="J2" s="1084">
        <v>32.0</v>
      </c>
      <c r="K2" s="1085"/>
      <c r="L2" s="1085"/>
      <c r="M2" s="1085"/>
      <c r="N2" s="1085"/>
      <c r="O2" s="1085"/>
      <c r="P2" s="1085"/>
      <c r="Q2" s="1085"/>
      <c r="R2" s="1085"/>
      <c r="S2" s="1085"/>
      <c r="T2" s="1085"/>
      <c r="U2" s="1085"/>
      <c r="V2" s="1085"/>
      <c r="W2" s="1085"/>
      <c r="X2" s="1085"/>
      <c r="Y2" s="1085"/>
      <c r="Z2" s="1085"/>
      <c r="AA2" s="1085"/>
      <c r="AB2" s="1086"/>
    </row>
    <row r="3">
      <c r="A3" s="1083" t="s">
        <v>1084</v>
      </c>
      <c r="B3" s="1084">
        <v>54.0</v>
      </c>
      <c r="C3" s="1084">
        <v>52.0</v>
      </c>
      <c r="D3" s="1084">
        <v>47.0</v>
      </c>
      <c r="E3" s="1084">
        <v>50.0</v>
      </c>
      <c r="F3" s="1084">
        <v>59.0</v>
      </c>
      <c r="G3" s="1084">
        <v>52.0</v>
      </c>
      <c r="H3" s="1084">
        <v>50.0</v>
      </c>
      <c r="I3" s="1084">
        <v>29.0</v>
      </c>
      <c r="J3" s="1084">
        <v>46.0</v>
      </c>
      <c r="K3" s="1085"/>
      <c r="L3" s="1085"/>
      <c r="M3" s="1085"/>
      <c r="N3" s="1085"/>
      <c r="O3" s="1085"/>
      <c r="P3" s="1085"/>
      <c r="Q3" s="1085"/>
      <c r="R3" s="1085"/>
      <c r="S3" s="1085"/>
      <c r="T3" s="1085"/>
      <c r="U3" s="1085"/>
      <c r="V3" s="1085"/>
      <c r="W3" s="1085"/>
      <c r="X3" s="1085"/>
      <c r="Y3" s="1085"/>
      <c r="Z3" s="1085"/>
      <c r="AA3" s="1085"/>
      <c r="AB3" s="1086"/>
    </row>
    <row r="4">
      <c r="A4" s="1083" t="s">
        <v>994</v>
      </c>
      <c r="B4" s="1084">
        <v>0.0</v>
      </c>
      <c r="C4" s="1084">
        <v>0.0</v>
      </c>
      <c r="D4" s="1084">
        <v>0.0</v>
      </c>
      <c r="E4" s="1084">
        <v>0.0</v>
      </c>
      <c r="F4" s="1084">
        <v>0.0</v>
      </c>
      <c r="G4" s="1084">
        <v>0.0</v>
      </c>
      <c r="H4" s="1084">
        <v>0.0</v>
      </c>
      <c r="I4" s="1084">
        <v>0.0</v>
      </c>
      <c r="J4" s="1084">
        <v>0.0</v>
      </c>
      <c r="K4" s="1085"/>
      <c r="L4" s="1085"/>
      <c r="M4" s="1085"/>
      <c r="N4" s="1085"/>
      <c r="O4" s="1085"/>
      <c r="P4" s="1085"/>
      <c r="Q4" s="1085"/>
      <c r="R4" s="1085"/>
      <c r="S4" s="1085"/>
      <c r="T4" s="1085"/>
      <c r="U4" s="1085"/>
      <c r="V4" s="1085"/>
      <c r="W4" s="1085"/>
      <c r="X4" s="1085"/>
      <c r="Y4" s="1085"/>
      <c r="Z4" s="1085"/>
      <c r="AA4" s="1085"/>
      <c r="AB4" s="1086"/>
    </row>
    <row r="5">
      <c r="A5" s="1083" t="s">
        <v>1085</v>
      </c>
      <c r="B5" s="1084">
        <v>45.0</v>
      </c>
      <c r="C5" s="1084">
        <v>50.0</v>
      </c>
      <c r="D5" s="1084">
        <v>53.0</v>
      </c>
      <c r="E5" s="1084">
        <v>52.0</v>
      </c>
      <c r="F5" s="1084">
        <v>58.0</v>
      </c>
      <c r="G5" s="1084">
        <v>53.0</v>
      </c>
      <c r="H5" s="1084">
        <v>50.0</v>
      </c>
      <c r="I5" s="1084">
        <v>19.0</v>
      </c>
      <c r="J5" s="1084">
        <v>37.0</v>
      </c>
      <c r="K5" s="1085"/>
      <c r="L5" s="1085"/>
      <c r="M5" s="1085"/>
      <c r="N5" s="1085"/>
      <c r="O5" s="1085"/>
      <c r="P5" s="1085"/>
      <c r="Q5" s="1085"/>
      <c r="R5" s="1085"/>
      <c r="S5" s="1085"/>
      <c r="T5" s="1085"/>
      <c r="U5" s="1085"/>
      <c r="V5" s="1085"/>
      <c r="W5" s="1085"/>
      <c r="X5" s="1085"/>
      <c r="Y5" s="1085"/>
      <c r="Z5" s="1085"/>
      <c r="AA5" s="1085"/>
      <c r="AB5" s="1086"/>
    </row>
    <row r="6">
      <c r="A6" s="1083" t="s">
        <v>1086</v>
      </c>
      <c r="B6" s="1084">
        <v>40.0</v>
      </c>
      <c r="C6" s="1084">
        <v>39.0</v>
      </c>
      <c r="D6" s="1084">
        <v>42.0</v>
      </c>
      <c r="E6" s="1084">
        <v>38.0</v>
      </c>
      <c r="F6" s="1084">
        <v>46.0</v>
      </c>
      <c r="G6" s="1084">
        <v>40.0</v>
      </c>
      <c r="H6" s="1084">
        <v>41.0</v>
      </c>
      <c r="I6" s="1084">
        <v>18.0</v>
      </c>
      <c r="J6" s="1084">
        <v>34.0</v>
      </c>
      <c r="K6" s="1085"/>
      <c r="L6" s="1085"/>
      <c r="M6" s="1085"/>
      <c r="N6" s="1085"/>
      <c r="O6" s="1085"/>
      <c r="P6" s="1085"/>
      <c r="Q6" s="1085"/>
      <c r="R6" s="1085"/>
      <c r="S6" s="1085"/>
      <c r="T6" s="1085"/>
      <c r="U6" s="1085"/>
      <c r="V6" s="1085"/>
      <c r="W6" s="1085"/>
      <c r="X6" s="1085"/>
      <c r="Y6" s="1085"/>
      <c r="Z6" s="1085"/>
      <c r="AA6" s="1085"/>
      <c r="AB6" s="1086"/>
    </row>
  </sheetData>
  <drawing r:id="rId1"/>
  <tableParts count="1">
    <tablePart r:id="rId3"/>
  </tableParts>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sheetData>
    <row r="1">
      <c r="A1" s="1095" t="s">
        <v>45</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7"/>
    </row>
    <row r="2">
      <c r="A2" s="1083" t="s">
        <v>991</v>
      </c>
      <c r="B2" s="1084">
        <v>36.0</v>
      </c>
      <c r="C2" s="1084">
        <v>41.0</v>
      </c>
      <c r="D2" s="1084">
        <v>39.0</v>
      </c>
      <c r="E2" s="1084">
        <v>34.0</v>
      </c>
      <c r="F2" s="1084">
        <v>18.0</v>
      </c>
      <c r="G2" s="1084">
        <v>32.0</v>
      </c>
      <c r="H2" s="1084">
        <v>34.0</v>
      </c>
      <c r="I2" s="1084">
        <v>24.0</v>
      </c>
      <c r="J2" s="1085"/>
      <c r="K2" s="1085"/>
      <c r="L2" s="1085"/>
      <c r="M2" s="1085"/>
      <c r="N2" s="1085"/>
      <c r="O2" s="1085"/>
      <c r="P2" s="1085"/>
      <c r="Q2" s="1085"/>
      <c r="R2" s="1085"/>
      <c r="S2" s="1085"/>
      <c r="T2" s="1085"/>
      <c r="U2" s="1085"/>
      <c r="V2" s="1085"/>
      <c r="W2" s="1085"/>
      <c r="X2" s="1085"/>
      <c r="Y2" s="1085"/>
      <c r="Z2" s="1085"/>
      <c r="AA2" s="1085"/>
      <c r="AB2" s="1086"/>
    </row>
    <row r="3">
      <c r="A3" s="1083" t="s">
        <v>992</v>
      </c>
      <c r="B3" s="1084" t="s">
        <v>59</v>
      </c>
      <c r="C3" s="1084">
        <v>44.0</v>
      </c>
      <c r="D3" s="1084">
        <v>55.0</v>
      </c>
      <c r="E3" s="1084">
        <v>54.0</v>
      </c>
      <c r="F3" s="1084">
        <v>55.0</v>
      </c>
      <c r="G3" s="1084">
        <v>57.0</v>
      </c>
      <c r="H3" s="1084">
        <v>46.0</v>
      </c>
      <c r="I3" s="1084">
        <v>16.0</v>
      </c>
      <c r="J3" s="1085"/>
      <c r="K3" s="1085"/>
      <c r="L3" s="1085"/>
      <c r="M3" s="1085"/>
      <c r="N3" s="1085"/>
      <c r="O3" s="1085"/>
      <c r="P3" s="1085"/>
      <c r="Q3" s="1085"/>
      <c r="R3" s="1085"/>
      <c r="S3" s="1085"/>
      <c r="T3" s="1085"/>
      <c r="U3" s="1085"/>
      <c r="V3" s="1085"/>
      <c r="W3" s="1085"/>
      <c r="X3" s="1085"/>
      <c r="Y3" s="1085"/>
      <c r="Z3" s="1085"/>
      <c r="AA3" s="1085"/>
      <c r="AB3" s="1086"/>
    </row>
    <row r="4">
      <c r="A4" s="1083" t="s">
        <v>993</v>
      </c>
      <c r="B4" s="1084">
        <v>42.0</v>
      </c>
      <c r="C4" s="1084">
        <v>41.0</v>
      </c>
      <c r="D4" s="1085"/>
      <c r="E4" s="1084">
        <v>46.0</v>
      </c>
      <c r="F4" s="1084">
        <v>49.0</v>
      </c>
      <c r="G4" s="1084">
        <v>45.0</v>
      </c>
      <c r="H4" s="1084">
        <v>42.0</v>
      </c>
      <c r="I4" s="1084">
        <v>18.0</v>
      </c>
      <c r="J4" s="1085"/>
      <c r="K4" s="1085"/>
      <c r="L4" s="1085"/>
      <c r="M4" s="1085"/>
      <c r="N4" s="1085"/>
      <c r="O4" s="1085"/>
      <c r="P4" s="1085"/>
      <c r="Q4" s="1085"/>
      <c r="R4" s="1085"/>
      <c r="S4" s="1085"/>
      <c r="T4" s="1085"/>
      <c r="U4" s="1085"/>
      <c r="V4" s="1085"/>
      <c r="W4" s="1085"/>
      <c r="X4" s="1085"/>
      <c r="Y4" s="1085"/>
      <c r="Z4" s="1085"/>
      <c r="AA4" s="1085"/>
      <c r="AB4" s="1086"/>
    </row>
    <row r="5">
      <c r="A5" s="1083" t="s">
        <v>1006</v>
      </c>
      <c r="B5" s="1084">
        <v>45.0</v>
      </c>
      <c r="C5" s="1084">
        <v>41.0</v>
      </c>
      <c r="D5" s="1084">
        <v>45.0</v>
      </c>
      <c r="E5" s="1084">
        <v>48.0</v>
      </c>
      <c r="F5" s="1084">
        <v>49.0</v>
      </c>
      <c r="G5" s="1084">
        <v>46.0</v>
      </c>
      <c r="H5" s="1084">
        <v>37.0</v>
      </c>
      <c r="I5" s="1084">
        <v>19.0</v>
      </c>
      <c r="J5" s="1085"/>
      <c r="K5" s="1085"/>
      <c r="L5" s="1085"/>
      <c r="M5" s="1085"/>
      <c r="N5" s="1085"/>
      <c r="O5" s="1085"/>
      <c r="P5" s="1085"/>
      <c r="Q5" s="1085"/>
      <c r="R5" s="1085"/>
      <c r="S5" s="1085"/>
      <c r="T5" s="1085"/>
      <c r="U5" s="1085"/>
      <c r="V5" s="1085"/>
      <c r="W5" s="1085"/>
      <c r="X5" s="1085"/>
      <c r="Y5" s="1085"/>
      <c r="Z5" s="1085"/>
      <c r="AA5" s="1085"/>
      <c r="AB5" s="1086"/>
    </row>
    <row r="6">
      <c r="A6" s="1083" t="s">
        <v>994</v>
      </c>
      <c r="B6" s="1084" t="s">
        <v>59</v>
      </c>
      <c r="C6" s="1084" t="s">
        <v>59</v>
      </c>
      <c r="D6" s="1084" t="s">
        <v>59</v>
      </c>
      <c r="E6" s="1084">
        <v>8.0</v>
      </c>
      <c r="F6" s="1085"/>
      <c r="G6" s="1085"/>
      <c r="H6" s="1084">
        <v>8.0</v>
      </c>
      <c r="I6" s="1085"/>
      <c r="J6" s="1084" t="s">
        <v>1795</v>
      </c>
      <c r="K6" s="1085"/>
      <c r="L6" s="1085"/>
      <c r="M6" s="1085"/>
      <c r="N6" s="1085"/>
      <c r="O6" s="1085"/>
      <c r="P6" s="1085"/>
      <c r="Q6" s="1085"/>
      <c r="R6" s="1085"/>
      <c r="S6" s="1085"/>
      <c r="T6" s="1085"/>
      <c r="U6" s="1085"/>
      <c r="V6" s="1085"/>
      <c r="W6" s="1085"/>
      <c r="X6" s="1085"/>
      <c r="Y6" s="1085"/>
      <c r="Z6" s="1085"/>
      <c r="AA6" s="1085"/>
      <c r="AB6" s="1086"/>
    </row>
    <row r="7">
      <c r="A7" s="1083" t="s">
        <v>995</v>
      </c>
      <c r="B7" s="1084">
        <v>42.0</v>
      </c>
      <c r="C7" s="1084">
        <v>42.0</v>
      </c>
      <c r="D7" s="1084">
        <v>45.0</v>
      </c>
      <c r="E7" s="1084">
        <v>34.0</v>
      </c>
      <c r="F7" s="1084">
        <v>40.0</v>
      </c>
      <c r="G7" s="1084">
        <v>42.0</v>
      </c>
      <c r="H7" s="1084">
        <v>23.0</v>
      </c>
      <c r="I7" s="1084">
        <v>14.0</v>
      </c>
      <c r="J7" s="1085"/>
      <c r="K7" s="1085"/>
      <c r="L7" s="1085"/>
      <c r="M7" s="1085"/>
      <c r="N7" s="1085"/>
      <c r="O7" s="1085"/>
      <c r="P7" s="1085"/>
      <c r="Q7" s="1085"/>
      <c r="R7" s="1085"/>
      <c r="S7" s="1085"/>
      <c r="T7" s="1085"/>
      <c r="U7" s="1085"/>
      <c r="V7" s="1085"/>
      <c r="W7" s="1085"/>
      <c r="X7" s="1085"/>
      <c r="Y7" s="1085"/>
      <c r="Z7" s="1085"/>
      <c r="AA7" s="1085"/>
      <c r="AB7" s="1086"/>
    </row>
    <row r="8">
      <c r="A8" s="1083" t="s">
        <v>996</v>
      </c>
      <c r="B8" s="1085"/>
      <c r="C8" s="1084" t="s">
        <v>59</v>
      </c>
      <c r="D8" s="1084">
        <v>5.0</v>
      </c>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1086"/>
    </row>
    <row r="9">
      <c r="A9" s="1083" t="s">
        <v>997</v>
      </c>
      <c r="B9" s="1084">
        <v>15.0</v>
      </c>
      <c r="C9" s="1084">
        <v>19.0</v>
      </c>
      <c r="D9" s="1084">
        <v>24.0</v>
      </c>
      <c r="E9" s="1084">
        <v>26.0</v>
      </c>
      <c r="F9" s="1084">
        <v>23.0</v>
      </c>
      <c r="G9" s="1084">
        <v>25.0</v>
      </c>
      <c r="H9" s="1084">
        <v>27.0</v>
      </c>
      <c r="I9" s="1084">
        <v>12.0</v>
      </c>
      <c r="J9" s="1085"/>
      <c r="K9" s="1085"/>
      <c r="L9" s="1085"/>
      <c r="M9" s="1085"/>
      <c r="N9" s="1085"/>
      <c r="O9" s="1085"/>
      <c r="P9" s="1085"/>
      <c r="Q9" s="1085"/>
      <c r="R9" s="1085"/>
      <c r="S9" s="1085"/>
      <c r="T9" s="1085"/>
      <c r="U9" s="1085"/>
      <c r="V9" s="1085"/>
      <c r="W9" s="1085"/>
      <c r="X9" s="1085"/>
      <c r="Y9" s="1085"/>
      <c r="Z9" s="1085"/>
      <c r="AA9" s="1085"/>
      <c r="AB9" s="1086"/>
    </row>
  </sheetData>
  <drawing r:id="rId1"/>
  <tableParts count="1">
    <tablePart r:id="rId3"/>
  </tableParts>
</worksheet>
</file>